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tabRatio="651" activeTab="1"/>
  </bookViews>
  <sheets>
    <sheet name="ปก " sheetId="1" r:id="rId1"/>
    <sheet name="สรุป" sheetId="2" r:id="rId2"/>
    <sheet name="สรุปวัสดุ" sheetId="3" r:id="rId3"/>
    <sheet name="รายละเอียด" sheetId="4" r:id="rId4"/>
    <sheet name="FACTOR F อาคาร " sheetId="5" r:id="rId5"/>
    <sheet name="งวดงาน" sheetId="6" r:id="rId6"/>
    <sheet name="DAT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4">'FACTOR F อาคาร '!$B$1:$K$74</definedName>
    <definedName name="_xlnm.Print_Area" localSheetId="3">'รายละเอียด'!$A$1:$I$86</definedName>
    <definedName name="_xlnm.Print_Area" localSheetId="1">'สรุป'!$A$1:$I$23</definedName>
    <definedName name="_xlnm.Print_Area" localSheetId="2">'สรุปวัสดุ'!$A$1:$H$17</definedName>
    <definedName name="_xlnm.Print_Titles" localSheetId="3">'รายละเอียด'!$1:$5</definedName>
    <definedName name="_xlnm.Print_Titles">'รายละเอียด'!$1:$2</definedName>
    <definedName name="เปลียนกระเบื้อง" localSheetId="4">#REF!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<sst xmlns="http://schemas.openxmlformats.org/spreadsheetml/2006/main" count="294" uniqueCount="192">
  <si>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</si>
  <si>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</si>
  <si>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</si>
  <si>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</si>
  <si>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</si>
  <si>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</si>
  <si>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</si>
  <si>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</si>
  <si>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</si>
  <si>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</si>
  <si>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</si>
  <si>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</si>
  <si>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</si>
  <si>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</si>
  <si>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</si>
  <si>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</si>
  <si>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</si>
  <si>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จัดทำโดย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</si>
  <si>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</si>
  <si>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</si>
  <si>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</si>
  <si>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</si>
  <si>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</si>
  <si>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</si>
  <si>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ค่าใช้จ่ายในการดำเนินงานก่อสร้าง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</si>
  <si>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</si>
  <si>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</si>
  <si>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</si>
  <si>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</si>
  <si>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ล้านบาท</t>
  </si>
  <si>
    <t>ค่าดอกเบี้ย</t>
  </si>
  <si>
    <t>ค่ากำไร</t>
  </si>
  <si>
    <t>ตาราง  Factor  F   งานก่อสร้างอาคาร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</si>
  <si>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</si>
  <si>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</si>
  <si>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</si>
  <si>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</si>
  <si>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</si>
  <si>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</si>
  <si>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Factor  F</t>
  </si>
  <si>
    <t>ค่างาน (ทุน)</t>
  </si>
  <si>
    <t>รวมในรูป</t>
  </si>
  <si>
    <t>ภาษีมูลค่าเพิ่ม</t>
  </si>
  <si>
    <t>ค่า</t>
  </si>
  <si>
    <t>Factor</t>
  </si>
  <si>
    <t xml:space="preserve">(VAT) </t>
  </si>
  <si>
    <t>อำนวยการ</t>
  </si>
  <si>
    <t>ดอกเบี้ย</t>
  </si>
  <si>
    <t>กำไร</t>
  </si>
  <si>
    <t>ค่าใช้จ่าย</t>
  </si>
  <si>
    <t>ทุนสูง</t>
  </si>
  <si>
    <t>ทุนต่ำ</t>
  </si>
  <si>
    <t>ราคาประเมินงานก่อสร้างอาคาร</t>
  </si>
  <si>
    <t>น้อยกว่า</t>
  </si>
  <si>
    <t>มากกว่า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</si>
  <si>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</si>
  <si>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</si>
  <si>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สรุปผลการคำนวณหาค่า FACTOR F ที่ ราคาประเมินค่าก่อสร้าง</t>
  </si>
  <si>
    <t>สรุป</t>
  </si>
  <si>
    <t>ตารางคำนวนหาค่า  Factor  F  งานก่อสร้างอาคาร</t>
  </si>
  <si>
    <t>ค่าอำนวยการ</t>
  </si>
  <si>
    <t>ภาษีมูลค่าเพิ่ม (VAT)</t>
  </si>
  <si>
    <t>-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</si>
  <si>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</si>
  <si>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</si>
  <si>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</si>
  <si>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</si>
  <si>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>รวมค่าในรูป FACTOR F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</si>
  <si>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</si>
  <si>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</si>
  <si>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</si>
  <si>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</si>
  <si>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>(รายการที่ 2) + (รายการที่ 3)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</si>
  <si>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</si>
  <si>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</si>
  <si>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</si>
  <si>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</si>
  <si>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บัญชีแสดงปริมาณวัสดุ แรงงาน และประมาณราคาค่าก่อสร้าง</t>
  </si>
  <si>
    <t>ม.</t>
  </si>
  <si>
    <t>ท่อน</t>
  </si>
  <si>
    <t>กันยายน 2559</t>
  </si>
  <si>
    <t xml:space="preserve">งานหลังคา </t>
  </si>
  <si>
    <t>กลุ่มงานโยธาและสถาปัตยกรรม</t>
  </si>
  <si>
    <t>ปรับปรุงอาคารเรียนอาคารพลังงาน</t>
  </si>
  <si>
    <t>รื้อหลังคา(เก็บแล้วนำมาใช้ต่อ)</t>
  </si>
  <si>
    <t>ติดแผ่นหลังคาเหล็กรีดลอนกลับ</t>
  </si>
  <si>
    <t>แผ่นยางกันซึมหลังคาขนาด กว้าง 0.3 เมตร</t>
  </si>
  <si>
    <t>งานหลังคาห้องประชุม</t>
  </si>
  <si>
    <t>ทำความสะอาดผิว</t>
  </si>
  <si>
    <t>งานหลังคาอาคารรอง</t>
  </si>
  <si>
    <t>งานหลังคาอาคารหลัก</t>
  </si>
  <si>
    <t>รวมราคางานที่1</t>
  </si>
  <si>
    <t>W1</t>
  </si>
  <si>
    <t>W4</t>
  </si>
  <si>
    <t>W5</t>
  </si>
  <si>
    <t>W6</t>
  </si>
  <si>
    <t>ซ่อมฝ้า</t>
  </si>
  <si>
    <t>w14</t>
  </si>
  <si>
    <t>บาน</t>
  </si>
  <si>
    <t>รวมราคางาน2</t>
  </si>
  <si>
    <t>รวมราคางาน3</t>
  </si>
  <si>
    <t>มหาวิทยาลัยราชภัฏอุตรดิตถ์ ทุ่งกะโล่</t>
  </si>
  <si>
    <t>ลบ.ม.</t>
  </si>
  <si>
    <t>กก.</t>
  </si>
  <si>
    <t>ทรายปรับ</t>
  </si>
  <si>
    <t>รางระบายน้ำ</t>
  </si>
  <si>
    <t>RB9</t>
  </si>
  <si>
    <t>ไม้แบบ</t>
  </si>
  <si>
    <t>เข้าไม้แบบ</t>
  </si>
  <si>
    <t>ลวดมัดเหล็ก</t>
  </si>
  <si>
    <t>งานขุดคลอง(งานหินขุด)</t>
  </si>
  <si>
    <t>รวมราคางานที่4</t>
  </si>
  <si>
    <t>งานรางระบายน้ำ</t>
  </si>
  <si>
    <t>รวมราคางานที่5</t>
  </si>
  <si>
    <t>ซ่อมท่อระบายน้ำฝนทางเดินเชื่อม</t>
  </si>
  <si>
    <t>งาน</t>
  </si>
  <si>
    <t>รวมราคางานที่6</t>
  </si>
  <si>
    <t>ทำผิว ระบบกันซึม</t>
  </si>
  <si>
    <t>ห้อง ประชุม slope</t>
  </si>
  <si>
    <t>ล้างแอร์</t>
  </si>
  <si>
    <t>ตัว</t>
  </si>
  <si>
    <t>ซ่อมบำรุงแอร์ที่ใช้การไม่ได้</t>
  </si>
  <si>
    <t>รวมราคางานที่7</t>
  </si>
  <si>
    <t>เหล็กกล่องขนาด</t>
  </si>
  <si>
    <t>ชุดแป้นหัวเสา</t>
  </si>
  <si>
    <t>ชุด</t>
  </si>
  <si>
    <t>สีกันสนิมทาวโครงเหล็ก</t>
  </si>
  <si>
    <t>แผ่นหลังคาเหล็กรีดลอนหนา</t>
  </si>
  <si>
    <t>0.4 มม.</t>
  </si>
  <si>
    <t>เมตร</t>
  </si>
  <si>
    <t>ครอบสันข้างกว้าง0.6เมตร</t>
  </si>
  <si>
    <t>ระยะเวลาการก่อสร้าง  120  วัน</t>
  </si>
  <si>
    <t>งวดที่</t>
  </si>
  <si>
    <t>รายละเอียดงาน</t>
  </si>
  <si>
    <t>มูลค่างาน (บาท)</t>
  </si>
  <si>
    <t>ผลงานที่ต้องดำเนินการแล้วเสร็จ</t>
  </si>
  <si>
    <t>ระยะเวลาก่อสร้าง (วัน)</t>
  </si>
  <si>
    <t>งวดที่ 1</t>
  </si>
  <si>
    <t>งวดที่ 2</t>
  </si>
  <si>
    <t>งบประมาณการก่อสร้าง</t>
  </si>
  <si>
    <t>ขอบเขตงาน       :</t>
  </si>
  <si>
    <t>1.ซ่อมหลังคาห้องประชุมประจำอาคารพลังงานและสิ่งแวดล้อม</t>
  </si>
  <si>
    <t>2.ปรับปรุงหลังคาชั้นดาดฟ้าของอาคารพลังงานและอาคาร A,B,C,D</t>
  </si>
  <si>
    <t>3.ซ่อมกระจกรอบตัวอาคารพลังงานและสิ่งแวดล้อม(อาคารหลัก)</t>
  </si>
  <si>
    <t>4.ซ่อมฝ้าภายในห้องประชุมและทางเดินรอบห้องประชุมอาคารพลังงานและสิ่งแวดล้อม</t>
  </si>
  <si>
    <t>5.ทำรางระบายน้ำบริเวณข้างทางเดินภายนอกอาคารพลังงานและสิ่งแวดล้อม</t>
  </si>
  <si>
    <t>6.ซ่อมท่อระบายน้ำฝนบริเวณทางเดินเชื่องอาคารหลักไปอาคารวิจัย</t>
  </si>
  <si>
    <t>8.สร้างที่จอกรถยนต์</t>
  </si>
  <si>
    <r>
      <t xml:space="preserve">พื้นที่ใช้สอย        : </t>
    </r>
    <r>
      <rPr>
        <sz val="16"/>
        <rFont val="TH SarabunPSK"/>
        <family val="2"/>
      </rPr>
      <t xml:space="preserve"> อาคาร 3 ชั้น พื้นที่ทั้งหมด 3770 ตารางเมตร</t>
    </r>
  </si>
  <si>
    <t xml:space="preserve"> </t>
  </si>
  <si>
    <t>สร้างที่จอดรถยนต์จำนวน 2 จุด</t>
  </si>
  <si>
    <t>ติดตั้งD7</t>
  </si>
  <si>
    <t>ซ่อมฝ้าแล้วเสร็จ</t>
  </si>
  <si>
    <t>งานรางระบายน้ำแล้วเสร็จ</t>
  </si>
  <si>
    <t>งานซ่อมท่อระบายน้ำทางเดินเชื่อมแล้วเสร็จ</t>
  </si>
  <si>
    <t>แล้วเสร็จ</t>
  </si>
  <si>
    <t>7.ซ่อมบำรุงแอร์และล้างแอร์ภายในห้องประชุมและติดตั้งแอร์</t>
  </si>
  <si>
    <t>สร้างที่จอดรถ 2 จุด แล้วเสร็จ</t>
  </si>
  <si>
    <t>ปรับปรุงงานหลังคาห้องประชุมแล้วเสร็จ</t>
  </si>
  <si>
    <t>ปรับปรุงหลังคา อาคารพลังงานแล้วเสร็จ</t>
  </si>
  <si>
    <t>ปรับปรุงหลังคา อาคารวิจัย A/B/C/D</t>
  </si>
  <si>
    <t>ซ่อมบำรุงเครื่องปรับอากาศ และติดตั้ง</t>
  </si>
  <si>
    <t>เครื่องปรับอากาศของใหม่แล้วเสร็จ</t>
  </si>
  <si>
    <t>งานซ่อมกระจกและประตูอาคารแล้วเสร็จ</t>
  </si>
  <si>
    <t>งานซ่อมกระจกและประตูอาคาร</t>
  </si>
  <si>
    <t>ซ่อมบำรุงเครื่องปรับอากาศ</t>
  </si>
  <si>
    <t>เหล็กรางน้ำ 150x75x6.5</t>
  </si>
  <si>
    <t>YORK/DAIKIN/MITSUBISHI หรือเทียบเท่าง</t>
  </si>
  <si>
    <t xml:space="preserve"> จำนวน 2 เครื่อง</t>
  </si>
  <si>
    <t>ลวดตาข่ายขนาด 2นิ้วเบอร์10</t>
  </si>
  <si>
    <t xml:space="preserve">รื้อถอนชุดประตูเดิม </t>
  </si>
  <si>
    <t>ทาสีกันสนิม</t>
  </si>
  <si>
    <t>รื้อถอนแผ่นฝ้าเดิม (รื้อเก็บ)</t>
  </si>
  <si>
    <t>รื้อแผ่นยิปซั่มห้องน้ำ(รื้อเก็บ)</t>
  </si>
  <si>
    <t>ติดตั้งแผ่นฝ้าเพดานยิบซั่มบอร์ด  หนา 9มม.รวมทาสี</t>
  </si>
  <si>
    <t>รื้อฝ้าแผ่นทางเดินพร้อมโครงเคร่า</t>
  </si>
  <si>
    <t>100x50 x 2.3</t>
  </si>
  <si>
    <t xml:space="preserve">ชนิด แยกส่วน พร้อมอุปกรณ์ ติดตั้ง </t>
  </si>
  <si>
    <t>งานเชื่องต่อระบบไฟฟ้าแสงสว่าง</t>
  </si>
  <si>
    <t>สวิตช์เปิดปิด1ช่อง</t>
  </si>
  <si>
    <t xml:space="preserve"> ขนาด 0.60 ม. T8 1x18W/LED</t>
  </si>
  <si>
    <t xml:space="preserve">โคมไฟยาวพลาสติกพร้อมหลอด </t>
  </si>
  <si>
    <t>สกัดพื้นคอนกรีต</t>
  </si>
  <si>
    <t>ฝ้าเพดานยิบซั่มบอร์ดหนา 9 มม.ชนิดกันชื้นฉาบรอยต่อเรียบโครงเคร่า C Line รวมทาสี(ทางเดิน)</t>
  </si>
  <si>
    <t>ฝ้าเพดานยิบซั่มบอร์ดหนา 9 มม.ชนิดกันชื้นโครงเคร่า T BAR รวมทาสี(ทางเดิน)</t>
  </si>
  <si>
    <t>ขุดดิน</t>
  </si>
  <si>
    <t>คอนกรีตรองพื้น</t>
  </si>
  <si>
    <t>DB12</t>
  </si>
  <si>
    <t>คอนกรีต 240 (15x15x15)</t>
  </si>
  <si>
    <t>เส้น</t>
  </si>
  <si>
    <t xml:space="preserve">เครื่องปรับอากาศ ขนาดไม่น้อยกว่า 36000 BTU </t>
  </si>
  <si>
    <t>ถมดินกลับ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</si>
</sst>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0000"/>
    <numFmt numFmtId="205" formatCode="0.0000"/>
    <numFmt numFmtId="206" formatCode="#,##0.0000"/>
    <numFmt numFmtId="207" formatCode="#,##0.0"/>
    <numFmt numFmtId="208" formatCode="0.00000"/>
    <numFmt numFmtId="209" formatCode="0.00000%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[$-41E]&quot;วัน&quot;dddd&quot;ที่&quot;\ d\ mmmm\ gg\ yyyy"/>
    <numFmt numFmtId="215" formatCode="[$-409]hh:mm:ss\ :\ AM/PM"/>
    <numFmt numFmtId="216" formatCode="0.0000%"/>
    <numFmt numFmtId="217" formatCode="#,##0.000000"/>
    <numFmt numFmtId="218" formatCode="0.000"/>
    <numFmt numFmtId="219" formatCode="#,##0.00_ ;\-#,##0.00\ "/>
    <numFmt numFmtId="220" formatCode="#,##0_ ;\-#,##0\ "/>
    <numFmt numFmtId="221" formatCode="0.0%"/>
    <numFmt numFmtId="222" formatCode="_-* #,##0_-;\-* #,##0_-;_-* &quot;-&quot;??_-;_-@_-"/>
    <numFmt numFmtId="223" formatCode="_-* #,##0.0_-;\-* #,##0.0_-;_-* &quot;-&quot;??_-;_-@_-"/>
    <numFmt numFmtId="224" formatCode="_-* #,##0.0000_-;\-* #,##0.0000_-;_-* &quot;-&quot;??_-;_-@_-"/>
    <numFmt numFmtId="225" formatCode="_-* #,##0.00000_-;\-* #,##0.00000_-;_-* &quot;-&quot;??_-;_-@_-"/>
    <numFmt numFmtId="226" formatCode="_-* #,##0.000000_-;\-* #,##0.000000_-;_-* &quot;-&quot;??_-;_-@_-"/>
    <numFmt numFmtId="227" formatCode="_-* #,##0.0000_-;\-* #,##0.0000_-;_-* &quot;-&quot;??????_-;_-@_-"/>
    <numFmt numFmtId="228" formatCode="_-* #,##0.000_-;\-* #,##0.000_-;_-* &quot;-&quot;??_-;_-@_-"/>
    <numFmt numFmtId="229" formatCode="_-* #,##0_-;\-* #,##0_-;_-* &quot;-&quot;??????_-;_-@_-"/>
    <numFmt numFmtId="230" formatCode="0.000000"/>
    <numFmt numFmtId="231" formatCode="_-* #,##0.00_-;\-* #,##0.00_-;_-* &quot;-&quot;??????_-;_-@_-"/>
    <numFmt numFmtId="232" formatCode="_(* #,##0_);_(* \(#,##0\);_(* &quot;-&quot;??_);_(@_)"/>
    <numFmt numFmtId="233" formatCode="0.00000000"/>
    <numFmt numFmtId="234" formatCode="0.0000000"/>
    <numFmt numFmtId="235" formatCode="_-* #,##0.000_-;\-* #,##0.000_-;_-* &quot;-&quot;???_-;_-@_-"/>
    <numFmt numFmtId="236" formatCode="0.000%"/>
    <numFmt numFmtId="237" formatCode="_(* #,##0.0_);_(* \(#,##0.0\);_(* &quot;-&quot;?_);_(@_)"/>
    <numFmt numFmtId="238" formatCode="_-* #,##0.0000000_-;\-* #,##0.0000000_-;_-* &quot;-&quot;??_-;_-@_-"/>
    <numFmt numFmtId="239" formatCode="_-* #,##0.00000000_-;\-* #,##0.00000000_-;_-* &quot;-&quot;??_-;_-@_-"/>
    <numFmt numFmtId="240" formatCode="_-* #,##0.000000000_-;\-* #,##0.000000000_-;_-* &quot;-&quot;??_-;_-@_-"/>
    <numFmt numFmtId="241" formatCode="_-* #,##0.0000000000_-;\-* #,##0.0000000000_-;_-* &quot;-&quot;??_-;_-@_-"/>
    <numFmt numFmtId="242" formatCode="_-* #,##0.00000000000_-;\-* #,##0.00000000000_-;_-* &quot;-&quot;??_-;_-@_-"/>
    <numFmt numFmtId="243" formatCode="_-* #,##0.000000000000_-;\-* #,##0.000000000000_-;_-* &quot;-&quot;??_-;_-@_-"/>
    <numFmt numFmtId="244" formatCode="_-* #,##0.0000000000000_-;\-* #,##0.0000000000000_-;_-* &quot;-&quot;??_-;_-@_-"/>
    <numFmt numFmtId="245" formatCode="_-* #,##0.00000000000000_-;\-* #,##0.00000000000000_-;_-* &quot;-&quot;??_-;_-@_-"/>
    <numFmt numFmtId="246" formatCode="_-* #,##0.000000000000000_-;\-* #,##0.000000000000000_-;_-* &quot;-&quot;??_-;_-@_-"/>
    <numFmt numFmtId="247" formatCode="_-* #,##0.0000000000000000_-;\-* #,##0.0000000000000000_-;_-* &quot;-&quot;??_-;_-@_-"/>
    <numFmt numFmtId="248" formatCode="_-* #,##0.00000000000000000_-;\-* #,##0.00000000000000000_-;_-* &quot;-&quot;??_-;_-@_-"/>
    <numFmt numFmtId="249" formatCode="#,##0.\-"/>
    <numFmt numFmtId="250" formatCode="[$-41E]General"/>
  </numFmts>
  <fonts count="49">
    <font>
      <sz val="14"/>
      <name val="Cordia New"/>
      <family val="0"/>
    </font>
    <font>
      <b/>
      <sz val="16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BrowalliaUPC"/>
      <family val="2"/>
    </font>
    <font>
      <b/>
      <sz val="14"/>
      <color indexed="10"/>
      <name val="BrowalliaUPC"/>
      <family val="2"/>
    </font>
    <font>
      <sz val="14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  <font>
      <sz val="15"/>
      <color indexed="10"/>
      <name val="TH SarabunPSK"/>
      <family val="2"/>
    </font>
    <font>
      <sz val="14"/>
      <color theme="1"/>
      <name val="Cordia New"/>
      <family val="2"/>
    </font>
    <font>
      <sz val="11"/>
      <color rgb="FFFA7D00"/>
      <name val="Calibri"/>
      <family val="2"/>
    </font>
    <font>
      <sz val="15"/>
      <color rgb="FFFF000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50" fontId="46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47" fillId="0" borderId="4" applyNumberFormat="0" applyFill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4" fillId="16" borderId="6" applyNumberFormat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9" fillId="0" borderId="0" xfId="0" applyFont="1" applyAlignment="1">
      <alignment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right" vertical="top" wrapText="1"/>
    </xf>
    <xf numFmtId="196" fontId="31" fillId="0" borderId="11" xfId="0" applyNumberFormat="1" applyFont="1" applyBorder="1" applyAlignment="1">
      <alignment horizontal="right" vertical="top" wrapText="1"/>
    </xf>
    <xf numFmtId="43" fontId="29" fillId="0" borderId="11" xfId="46" applyFont="1" applyBorder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2" fontId="29" fillId="0" borderId="11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vertical="top" shrinkToFit="1"/>
    </xf>
    <xf numFmtId="3" fontId="29" fillId="0" borderId="11" xfId="0" applyNumberFormat="1" applyFont="1" applyBorder="1" applyAlignment="1">
      <alignment horizontal="center" vertical="top" wrapText="1"/>
    </xf>
    <xf numFmtId="43" fontId="29" fillId="0" borderId="11" xfId="46" applyFont="1" applyFill="1" applyBorder="1" applyAlignment="1">
      <alignment horizontal="right" vertical="top" wrapText="1"/>
    </xf>
    <xf numFmtId="3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43" fontId="29" fillId="0" borderId="0" xfId="46" applyFont="1" applyAlignment="1">
      <alignment horizontal="right"/>
    </xf>
    <xf numFmtId="0" fontId="29" fillId="0" borderId="0" xfId="0" applyFont="1" applyAlignment="1" applyProtection="1">
      <alignment/>
      <protection hidden="1"/>
    </xf>
    <xf numFmtId="0" fontId="31" fillId="16" borderId="12" xfId="0" applyFont="1" applyFill="1" applyBorder="1" applyAlignment="1" applyProtection="1">
      <alignment horizontal="center"/>
      <protection hidden="1"/>
    </xf>
    <xf numFmtId="3" fontId="31" fillId="16" borderId="12" xfId="0" applyNumberFormat="1" applyFont="1" applyFill="1" applyBorder="1" applyAlignment="1" applyProtection="1">
      <alignment horizontal="center"/>
      <protection hidden="1"/>
    </xf>
    <xf numFmtId="0" fontId="31" fillId="16" borderId="13" xfId="0" applyFont="1" applyFill="1" applyBorder="1" applyAlignment="1" applyProtection="1">
      <alignment horizontal="center"/>
      <protection hidden="1"/>
    </xf>
    <xf numFmtId="3" fontId="31" fillId="16" borderId="13" xfId="0" applyNumberFormat="1" applyFont="1" applyFill="1" applyBorder="1" applyAlignment="1" applyProtection="1">
      <alignment horizontal="center"/>
      <protection hidden="1"/>
    </xf>
    <xf numFmtId="0" fontId="29" fillId="16" borderId="13" xfId="0" applyFont="1" applyFill="1" applyBorder="1" applyAlignment="1" applyProtection="1">
      <alignment/>
      <protection hidden="1"/>
    </xf>
    <xf numFmtId="0" fontId="29" fillId="0" borderId="1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16" xfId="0" applyFont="1" applyBorder="1" applyAlignment="1" applyProtection="1">
      <alignment horizontal="left"/>
      <protection hidden="1"/>
    </xf>
    <xf numFmtId="198" fontId="29" fillId="0" borderId="11" xfId="0" applyNumberFormat="1" applyFont="1" applyBorder="1" applyAlignment="1" applyProtection="1">
      <alignment horizontal="right"/>
      <protection hidden="1"/>
    </xf>
    <xf numFmtId="198" fontId="29" fillId="0" borderId="13" xfId="0" applyNumberFormat="1" applyFont="1" applyBorder="1" applyAlignment="1" applyProtection="1">
      <alignment horizontal="right"/>
      <protection hidden="1"/>
    </xf>
    <xf numFmtId="10" fontId="29" fillId="0" borderId="13" xfId="0" applyNumberFormat="1" applyFont="1" applyBorder="1" applyAlignment="1" applyProtection="1">
      <alignment horizontal="right"/>
      <protection hidden="1"/>
    </xf>
    <xf numFmtId="3" fontId="29" fillId="0" borderId="0" xfId="0" applyNumberFormat="1" applyFont="1" applyAlignment="1" applyProtection="1">
      <alignment/>
      <protection hidden="1"/>
    </xf>
    <xf numFmtId="0" fontId="29" fillId="16" borderId="13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3" fontId="30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right"/>
      <protection hidden="1"/>
    </xf>
    <xf numFmtId="10" fontId="30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0" fontId="31" fillId="16" borderId="12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left"/>
      <protection/>
    </xf>
    <xf numFmtId="0" fontId="31" fillId="0" borderId="15" xfId="0" applyFont="1" applyBorder="1" applyAlignment="1" applyProtection="1">
      <alignment horizontal="center"/>
      <protection/>
    </xf>
    <xf numFmtId="0" fontId="31" fillId="0" borderId="15" xfId="0" applyNumberFormat="1" applyFont="1" applyBorder="1" applyAlignment="1" applyProtection="1">
      <alignment horizontal="left"/>
      <protection/>
    </xf>
    <xf numFmtId="10" fontId="31" fillId="0" borderId="16" xfId="0" applyNumberFormat="1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right"/>
      <protection/>
    </xf>
    <xf numFmtId="0" fontId="31" fillId="0" borderId="12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right"/>
      <protection/>
    </xf>
    <xf numFmtId="0" fontId="29" fillId="0" borderId="17" xfId="0" applyFont="1" applyBorder="1" applyAlignment="1" applyProtection="1">
      <alignment horizontal="right"/>
      <protection/>
    </xf>
    <xf numFmtId="0" fontId="31" fillId="0" borderId="11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right"/>
      <protection/>
    </xf>
    <xf numFmtId="206" fontId="29" fillId="0" borderId="0" xfId="0" applyNumberFormat="1" applyFont="1" applyAlignment="1" applyProtection="1">
      <alignment/>
      <protection/>
    </xf>
    <xf numFmtId="0" fontId="29" fillId="0" borderId="0" xfId="56" applyFont="1" applyFill="1">
      <alignment/>
      <protection/>
    </xf>
    <xf numFmtId="0" fontId="29" fillId="0" borderId="0" xfId="56" applyFont="1">
      <alignment/>
      <protection/>
    </xf>
    <xf numFmtId="0" fontId="33" fillId="0" borderId="0" xfId="56" applyFont="1" applyFill="1" applyAlignment="1">
      <alignment/>
      <protection/>
    </xf>
    <xf numFmtId="0" fontId="32" fillId="0" borderId="0" xfId="56" applyFont="1" applyFill="1" applyAlignment="1" applyProtection="1">
      <alignment/>
      <protection locked="0"/>
    </xf>
    <xf numFmtId="0" fontId="28" fillId="0" borderId="0" xfId="56" applyFont="1" applyFill="1" applyAlignment="1">
      <alignment/>
      <protection/>
    </xf>
    <xf numFmtId="0" fontId="35" fillId="0" borderId="0" xfId="56" applyFont="1" applyFill="1">
      <alignment/>
      <protection/>
    </xf>
    <xf numFmtId="0" fontId="36" fillId="0" borderId="0" xfId="56" applyFont="1" applyFill="1" applyAlignment="1">
      <alignment horizontal="center"/>
      <protection/>
    </xf>
    <xf numFmtId="0" fontId="36" fillId="0" borderId="0" xfId="56" applyFont="1" applyFill="1" applyAlignment="1">
      <alignment/>
      <protection/>
    </xf>
    <xf numFmtId="0" fontId="29" fillId="0" borderId="18" xfId="56" applyFont="1" applyFill="1" applyBorder="1">
      <alignment/>
      <protection/>
    </xf>
    <xf numFmtId="43" fontId="29" fillId="0" borderId="11" xfId="43" applyFont="1" applyFill="1" applyBorder="1" applyAlignment="1">
      <alignment horizontal="right" vertical="top" wrapText="1"/>
    </xf>
    <xf numFmtId="43" fontId="29" fillId="0" borderId="11" xfId="43" applyFont="1" applyBorder="1" applyAlignment="1">
      <alignment horizontal="right" vertical="top" wrapText="1"/>
    </xf>
    <xf numFmtId="0" fontId="29" fillId="0" borderId="14" xfId="0" applyNumberFormat="1" applyFont="1" applyBorder="1" applyAlignment="1" applyProtection="1">
      <alignment horizontal="left"/>
      <protection hidden="1"/>
    </xf>
    <xf numFmtId="0" fontId="29" fillId="0" borderId="12" xfId="0" applyFont="1" applyFill="1" applyBorder="1" applyAlignment="1">
      <alignment horizontal="left" vertical="top" wrapText="1"/>
    </xf>
    <xf numFmtId="43" fontId="31" fillId="0" borderId="0" xfId="46" applyFont="1" applyBorder="1" applyAlignment="1" applyProtection="1">
      <alignment horizontal="left"/>
      <protection/>
    </xf>
    <xf numFmtId="0" fontId="31" fillId="0" borderId="12" xfId="0" applyFont="1" applyFill="1" applyBorder="1" applyAlignment="1">
      <alignment horizontal="center"/>
    </xf>
    <xf numFmtId="43" fontId="31" fillId="0" borderId="19" xfId="46" applyFont="1" applyFill="1" applyBorder="1" applyAlignment="1">
      <alignment horizontal="center"/>
    </xf>
    <xf numFmtId="43" fontId="31" fillId="0" borderId="20" xfId="46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43" fontId="31" fillId="0" borderId="21" xfId="46" applyFont="1" applyFill="1" applyBorder="1" applyAlignment="1">
      <alignment horizontal="right"/>
    </xf>
    <xf numFmtId="43" fontId="31" fillId="0" borderId="11" xfId="46" applyFont="1" applyFill="1" applyBorder="1" applyAlignment="1">
      <alignment horizontal="center"/>
    </xf>
    <xf numFmtId="43" fontId="31" fillId="0" borderId="22" xfId="46" applyFont="1" applyFill="1" applyBorder="1" applyAlignment="1">
      <alignment horizontal="center"/>
    </xf>
    <xf numFmtId="43" fontId="31" fillId="0" borderId="11" xfId="46" applyFont="1" applyFill="1" applyBorder="1" applyAlignment="1">
      <alignment horizontal="right" vertical="top" wrapText="1"/>
    </xf>
    <xf numFmtId="0" fontId="0" fillId="24" borderId="0" xfId="55" applyFill="1">
      <alignment/>
      <protection/>
    </xf>
    <xf numFmtId="0" fontId="1" fillId="0" borderId="0" xfId="55" applyFont="1" applyFill="1" applyBorder="1" applyAlignment="1">
      <alignment horizontal="center" vertical="top"/>
      <protection/>
    </xf>
    <xf numFmtId="206" fontId="3" fillId="0" borderId="23" xfId="55" applyNumberFormat="1" applyFont="1" applyFill="1" applyBorder="1" applyAlignment="1">
      <alignment horizontal="left" vertical="top"/>
      <protection/>
    </xf>
    <xf numFmtId="0" fontId="3" fillId="0" borderId="23" xfId="55" applyFont="1" applyFill="1" applyBorder="1" applyAlignment="1">
      <alignment horizontal="center" vertical="top"/>
      <protection/>
    </xf>
    <xf numFmtId="0" fontId="2" fillId="0" borderId="23" xfId="55" applyFont="1" applyFill="1" applyBorder="1" applyAlignment="1">
      <alignment horizontal="center" vertical="top"/>
      <protection/>
    </xf>
    <xf numFmtId="0" fontId="0" fillId="0" borderId="23" xfId="55" applyFill="1" applyBorder="1">
      <alignment/>
      <protection/>
    </xf>
    <xf numFmtId="0" fontId="0" fillId="0" borderId="20" xfId="55" applyFill="1" applyBorder="1">
      <alignment/>
      <protection/>
    </xf>
    <xf numFmtId="0" fontId="2" fillId="0" borderId="24" xfId="55" applyFont="1" applyFill="1" applyBorder="1" applyAlignment="1">
      <alignment vertical="top"/>
      <protection/>
    </xf>
    <xf numFmtId="0" fontId="2" fillId="0" borderId="0" xfId="55" applyFont="1" applyFill="1" applyBorder="1" applyAlignment="1">
      <alignment vertical="top"/>
      <protection/>
    </xf>
    <xf numFmtId="9" fontId="2" fillId="0" borderId="0" xfId="55" applyNumberFormat="1" applyFont="1" applyFill="1" applyBorder="1" applyAlignment="1">
      <alignment horizontal="left" vertical="top"/>
      <protection/>
    </xf>
    <xf numFmtId="9" fontId="2" fillId="0" borderId="0" xfId="55" applyNumberFormat="1" applyFont="1" applyFill="1" applyBorder="1" applyAlignment="1">
      <alignment horizontal="center" vertical="top"/>
      <protection/>
    </xf>
    <xf numFmtId="9" fontId="2" fillId="0" borderId="25" xfId="55" applyNumberFormat="1" applyFont="1" applyFill="1" applyBorder="1" applyAlignment="1">
      <alignment horizontal="left" vertical="top"/>
      <protection/>
    </xf>
    <xf numFmtId="0" fontId="2" fillId="0" borderId="21" xfId="55" applyFont="1" applyFill="1" applyBorder="1" applyAlignment="1">
      <alignment vertical="top"/>
      <protection/>
    </xf>
    <xf numFmtId="0" fontId="2" fillId="0" borderId="26" xfId="55" applyFont="1" applyFill="1" applyBorder="1" applyAlignment="1">
      <alignment vertical="top"/>
      <protection/>
    </xf>
    <xf numFmtId="9" fontId="2" fillId="0" borderId="26" xfId="55" applyNumberFormat="1" applyFont="1" applyFill="1" applyBorder="1" applyAlignment="1">
      <alignment horizontal="left" vertical="top"/>
      <protection/>
    </xf>
    <xf numFmtId="9" fontId="2" fillId="0" borderId="26" xfId="55" applyNumberFormat="1" applyFont="1" applyFill="1" applyBorder="1" applyAlignment="1">
      <alignment vertical="top"/>
      <protection/>
    </xf>
    <xf numFmtId="0" fontId="2" fillId="0" borderId="22" xfId="55" applyFont="1" applyFill="1" applyBorder="1" applyAlignment="1">
      <alignment horizontal="left" vertical="top"/>
      <protection/>
    </xf>
    <xf numFmtId="0" fontId="2" fillId="16" borderId="19" xfId="55" applyFont="1" applyFill="1" applyBorder="1" applyAlignment="1">
      <alignment horizontal="center" vertical="top"/>
      <protection/>
    </xf>
    <xf numFmtId="0" fontId="2" fillId="16" borderId="20" xfId="55" applyFont="1" applyFill="1" applyBorder="1" applyAlignment="1">
      <alignment horizontal="center" vertical="top"/>
      <protection/>
    </xf>
    <xf numFmtId="0" fontId="2" fillId="16" borderId="12" xfId="55" applyFont="1" applyFill="1" applyBorder="1" applyAlignment="1">
      <alignment horizontal="center" vertical="top"/>
      <protection/>
    </xf>
    <xf numFmtId="0" fontId="2" fillId="16" borderId="24" xfId="55" applyFont="1" applyFill="1" applyBorder="1" applyAlignment="1">
      <alignment horizontal="center" vertical="top"/>
      <protection/>
    </xf>
    <xf numFmtId="0" fontId="2" fillId="16" borderId="17" xfId="55" applyFont="1" applyFill="1" applyBorder="1" applyAlignment="1">
      <alignment horizontal="center" vertical="top"/>
      <protection/>
    </xf>
    <xf numFmtId="0" fontId="0" fillId="16" borderId="0" xfId="55" applyFill="1" applyBorder="1">
      <alignment/>
      <protection/>
    </xf>
    <xf numFmtId="0" fontId="0" fillId="16" borderId="17" xfId="55" applyFill="1" applyBorder="1">
      <alignment/>
      <protection/>
    </xf>
    <xf numFmtId="0" fontId="2" fillId="16" borderId="21" xfId="55" applyFont="1" applyFill="1" applyBorder="1" applyAlignment="1">
      <alignment horizontal="center" vertical="top"/>
      <protection/>
    </xf>
    <xf numFmtId="0" fontId="2" fillId="16" borderId="13" xfId="55" applyFont="1" applyFill="1" applyBorder="1" applyAlignment="1">
      <alignment horizontal="center" vertical="top"/>
      <protection/>
    </xf>
    <xf numFmtId="0" fontId="2" fillId="16" borderId="22" xfId="55" applyFont="1" applyFill="1" applyBorder="1" applyAlignment="1">
      <alignment horizontal="center" vertical="top"/>
      <protection/>
    </xf>
    <xf numFmtId="0" fontId="2" fillId="16" borderId="13" xfId="55" applyFont="1" applyFill="1" applyBorder="1" applyAlignment="1">
      <alignment vertical="top"/>
      <protection/>
    </xf>
    <xf numFmtId="0" fontId="2" fillId="0" borderId="11" xfId="55" applyFont="1" applyFill="1" applyBorder="1" applyAlignment="1">
      <alignment horizontal="center" vertical="top"/>
      <protection/>
    </xf>
    <xf numFmtId="205" fontId="2" fillId="0" borderId="11" xfId="55" applyNumberFormat="1" applyFont="1" applyFill="1" applyBorder="1" applyAlignment="1">
      <alignment horizontal="center" vertical="top"/>
      <protection/>
    </xf>
    <xf numFmtId="205" fontId="2" fillId="0" borderId="16" xfId="55" applyNumberFormat="1" applyFont="1" applyFill="1" applyBorder="1" applyAlignment="1">
      <alignment horizontal="center" vertical="top"/>
      <protection/>
    </xf>
    <xf numFmtId="0" fontId="2" fillId="0" borderId="11" xfId="55" applyFont="1" applyFill="1" applyBorder="1" applyAlignment="1">
      <alignment horizontal="center" vertical="center"/>
      <protection/>
    </xf>
    <xf numFmtId="206" fontId="8" fillId="0" borderId="11" xfId="55" applyNumberFormat="1" applyFont="1" applyFill="1" applyBorder="1" applyAlignment="1">
      <alignment horizontal="center" vertical="center"/>
      <protection/>
    </xf>
    <xf numFmtId="205" fontId="3" fillId="0" borderId="11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top"/>
      <protection/>
    </xf>
    <xf numFmtId="206" fontId="8" fillId="0" borderId="0" xfId="55" applyNumberFormat="1" applyFont="1" applyFill="1" applyBorder="1" applyAlignment="1">
      <alignment horizontal="center" vertical="top"/>
      <protection/>
    </xf>
    <xf numFmtId="205" fontId="3" fillId="0" borderId="0" xfId="55" applyNumberFormat="1" applyFont="1" applyFill="1" applyBorder="1" applyAlignment="1">
      <alignment horizontal="center" vertical="top"/>
      <protection/>
    </xf>
    <xf numFmtId="205" fontId="2" fillId="24" borderId="0" xfId="55" applyNumberFormat="1" applyFont="1" applyFill="1" applyBorder="1" applyAlignment="1">
      <alignment horizontal="center" vertical="top"/>
      <protection/>
    </xf>
    <xf numFmtId="206" fontId="9" fillId="0" borderId="0" xfId="55" applyNumberFormat="1" applyFont="1" applyFill="1" applyBorder="1" applyAlignment="1">
      <alignment horizontal="center" vertical="top"/>
      <protection/>
    </xf>
    <xf numFmtId="205" fontId="2" fillId="0" borderId="0" xfId="55" applyNumberFormat="1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left" vertical="top"/>
      <protection/>
    </xf>
    <xf numFmtId="3" fontId="3" fillId="0" borderId="0" xfId="55" applyNumberFormat="1" applyFont="1" applyFill="1" applyBorder="1" applyAlignment="1">
      <alignment horizontal="right" vertical="top"/>
      <protection/>
    </xf>
    <xf numFmtId="0" fontId="2" fillId="0" borderId="0" xfId="55" applyFont="1" applyFill="1" applyBorder="1" applyAlignment="1">
      <alignment horizontal="right" vertical="center"/>
      <protection/>
    </xf>
    <xf numFmtId="205" fontId="2" fillId="0" borderId="0" xfId="55" applyNumberFormat="1" applyFont="1" applyFill="1" applyBorder="1" applyAlignment="1">
      <alignment horizontal="left" vertical="center"/>
      <protection/>
    </xf>
    <xf numFmtId="205" fontId="2" fillId="0" borderId="0" xfId="55" applyNumberFormat="1" applyFont="1" applyFill="1" applyBorder="1" applyAlignment="1">
      <alignment horizontal="center" vertical="center"/>
      <protection/>
    </xf>
    <xf numFmtId="205" fontId="3" fillId="0" borderId="0" xfId="55" applyNumberFormat="1" applyFont="1" applyFill="1" applyBorder="1" applyAlignment="1">
      <alignment horizontal="right" vertical="center"/>
      <protection/>
    </xf>
    <xf numFmtId="205" fontId="3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vertical="center"/>
      <protection/>
    </xf>
    <xf numFmtId="205" fontId="3" fillId="0" borderId="0" xfId="55" applyNumberFormat="1" applyFont="1" applyFill="1" applyAlignment="1">
      <alignment horizontal="right" vertical="center"/>
      <protection/>
    </xf>
    <xf numFmtId="0" fontId="2" fillId="0" borderId="0" xfId="55" applyFont="1" applyFill="1" applyAlignment="1">
      <alignment vertical="top"/>
      <protection/>
    </xf>
    <xf numFmtId="0" fontId="2" fillId="0" borderId="0" xfId="55" applyFont="1" applyFill="1" applyAlignment="1">
      <alignment horizontal="left"/>
      <protection/>
    </xf>
    <xf numFmtId="205" fontId="2" fillId="0" borderId="0" xfId="55" applyNumberFormat="1" applyFont="1" applyFill="1">
      <alignment/>
      <protection/>
    </xf>
    <xf numFmtId="218" fontId="2" fillId="0" borderId="0" xfId="55" applyNumberFormat="1" applyFont="1" applyFill="1">
      <alignment/>
      <protection/>
    </xf>
    <xf numFmtId="9" fontId="2" fillId="0" borderId="0" xfId="55" applyNumberFormat="1" applyFont="1" applyFill="1" applyAlignment="1">
      <alignment horizontal="left" vertical="top"/>
      <protection/>
    </xf>
    <xf numFmtId="9" fontId="2" fillId="0" borderId="0" xfId="55" applyNumberFormat="1" applyFont="1" applyFill="1" applyAlignment="1">
      <alignment horizontal="center" vertical="top"/>
      <protection/>
    </xf>
    <xf numFmtId="9" fontId="2" fillId="0" borderId="0" xfId="55" applyNumberFormat="1" applyFont="1" applyFill="1" applyAlignment="1">
      <alignment vertical="top"/>
      <protection/>
    </xf>
    <xf numFmtId="0" fontId="2" fillId="0" borderId="0" xfId="55" applyFont="1" applyFill="1" applyAlignment="1">
      <alignment horizontal="left" vertical="top"/>
      <protection/>
    </xf>
    <xf numFmtId="0" fontId="2" fillId="16" borderId="12" xfId="55" applyFont="1" applyFill="1" applyBorder="1" applyAlignment="1">
      <alignment vertical="top"/>
      <protection/>
    </xf>
    <xf numFmtId="0" fontId="2" fillId="0" borderId="19" xfId="55" applyFont="1" applyFill="1" applyBorder="1" applyAlignment="1">
      <alignment horizontal="center" vertical="top"/>
      <protection/>
    </xf>
    <xf numFmtId="205" fontId="2" fillId="0" borderId="12" xfId="55" applyNumberFormat="1" applyFont="1" applyFill="1" applyBorder="1" applyAlignment="1">
      <alignment horizontal="center" vertical="top"/>
      <protection/>
    </xf>
    <xf numFmtId="205" fontId="2" fillId="0" borderId="24" xfId="55" applyNumberFormat="1" applyFont="1" applyFill="1" applyBorder="1" applyAlignment="1">
      <alignment horizontal="center" vertical="top"/>
      <protection/>
    </xf>
    <xf numFmtId="205" fontId="2" fillId="0" borderId="19" xfId="55" applyNumberFormat="1" applyFont="1" applyFill="1" applyBorder="1" applyAlignment="1">
      <alignment horizontal="center" vertical="top"/>
      <protection/>
    </xf>
    <xf numFmtId="0" fontId="2" fillId="0" borderId="24" xfId="55" applyFont="1" applyFill="1" applyBorder="1" applyAlignment="1">
      <alignment horizontal="center" vertical="top"/>
      <protection/>
    </xf>
    <xf numFmtId="205" fontId="2" fillId="0" borderId="17" xfId="55" applyNumberFormat="1" applyFont="1" applyFill="1" applyBorder="1" applyAlignment="1">
      <alignment horizontal="center" vertical="top"/>
      <protection/>
    </xf>
    <xf numFmtId="0" fontId="2" fillId="0" borderId="21" xfId="55" applyFont="1" applyFill="1" applyBorder="1" applyAlignment="1">
      <alignment horizontal="center" vertical="top"/>
      <protection/>
    </xf>
    <xf numFmtId="0" fontId="2" fillId="0" borderId="26" xfId="55" applyNumberFormat="1" applyFont="1" applyFill="1" applyBorder="1" applyAlignment="1">
      <alignment horizontal="center" vertical="top"/>
      <protection/>
    </xf>
    <xf numFmtId="205" fontId="2" fillId="0" borderId="21" xfId="55" applyNumberFormat="1" applyFont="1" applyFill="1" applyBorder="1" applyAlignment="1">
      <alignment horizontal="center" vertical="top"/>
      <protection/>
    </xf>
    <xf numFmtId="205" fontId="2" fillId="0" borderId="13" xfId="55" applyNumberFormat="1" applyFont="1" applyFill="1" applyBorder="1" applyAlignment="1">
      <alignment horizontal="center" vertical="top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top"/>
      <protection/>
    </xf>
    <xf numFmtId="0" fontId="2" fillId="24" borderId="0" xfId="55" applyFont="1" applyFill="1">
      <alignment/>
      <protection/>
    </xf>
    <xf numFmtId="203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Fill="1" applyBorder="1" applyAlignment="1">
      <alignment horizontal="left" vertical="top" wrapText="1"/>
    </xf>
    <xf numFmtId="222" fontId="29" fillId="0" borderId="11" xfId="46" applyNumberFormat="1" applyFont="1" applyBorder="1" applyAlignment="1">
      <alignment horizontal="right" vertical="top" wrapText="1"/>
    </xf>
    <xf numFmtId="2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shrinkToFit="1"/>
    </xf>
    <xf numFmtId="222" fontId="29" fillId="0" borderId="11" xfId="33" applyNumberFormat="1" applyFont="1" applyBorder="1" applyAlignment="1">
      <alignment horizontal="right" vertical="top" wrapText="1"/>
    </xf>
    <xf numFmtId="222" fontId="29" fillId="0" borderId="11" xfId="0" applyNumberFormat="1" applyFont="1" applyBorder="1" applyAlignment="1">
      <alignment horizontal="center" vertical="top" wrapText="1"/>
    </xf>
    <xf numFmtId="3" fontId="29" fillId="0" borderId="11" xfId="33" applyNumberFormat="1" applyFont="1" applyBorder="1" applyAlignment="1">
      <alignment horizontal="right" vertical="top" wrapText="1"/>
    </xf>
    <xf numFmtId="207" fontId="29" fillId="0" borderId="11" xfId="33" applyNumberFormat="1" applyFont="1" applyBorder="1" applyAlignment="1">
      <alignment horizontal="right" vertical="top" wrapText="1"/>
    </xf>
    <xf numFmtId="2" fontId="29" fillId="25" borderId="11" xfId="0" applyNumberFormat="1" applyFont="1" applyFill="1" applyBorder="1" applyAlignment="1">
      <alignment horizontal="center" vertical="top" wrapText="1"/>
    </xf>
    <xf numFmtId="0" fontId="31" fillId="25" borderId="11" xfId="0" applyFont="1" applyFill="1" applyBorder="1" applyAlignment="1">
      <alignment vertical="top" shrinkToFit="1"/>
    </xf>
    <xf numFmtId="43" fontId="31" fillId="25" borderId="11" xfId="33" applyFont="1" applyFill="1" applyBorder="1" applyAlignment="1">
      <alignment horizontal="right" vertical="top" wrapText="1"/>
    </xf>
    <xf numFmtId="222" fontId="31" fillId="25" borderId="11" xfId="0" applyNumberFormat="1" applyFont="1" applyFill="1" applyBorder="1" applyAlignment="1">
      <alignment horizontal="center" vertical="top" wrapText="1"/>
    </xf>
    <xf numFmtId="207" fontId="31" fillId="25" borderId="11" xfId="33" applyNumberFormat="1" applyFont="1" applyFill="1" applyBorder="1" applyAlignment="1">
      <alignment horizontal="right" vertical="top" wrapText="1"/>
    </xf>
    <xf numFmtId="3" fontId="31" fillId="25" borderId="11" xfId="33" applyNumberFormat="1" applyFont="1" applyFill="1" applyBorder="1" applyAlignment="1">
      <alignment horizontal="right" vertical="top" wrapText="1"/>
    </xf>
    <xf numFmtId="236" fontId="29" fillId="0" borderId="0" xfId="61" applyNumberFormat="1" applyFont="1" applyAlignment="1" applyProtection="1">
      <alignment/>
      <protection/>
    </xf>
    <xf numFmtId="43" fontId="29" fillId="0" borderId="0" xfId="46" applyFont="1" applyAlignment="1" applyProtection="1">
      <alignment/>
      <protection/>
    </xf>
    <xf numFmtId="0" fontId="29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43" fontId="29" fillId="0" borderId="0" xfId="46" applyFont="1" applyFill="1" applyBorder="1" applyAlignment="1">
      <alignment horizontal="right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222" fontId="31" fillId="0" borderId="0" xfId="46" applyNumberFormat="1" applyFont="1" applyFill="1" applyBorder="1" applyAlignment="1">
      <alignment horizontal="right" vertical="top" wrapText="1"/>
    </xf>
    <xf numFmtId="43" fontId="31" fillId="0" borderId="0" xfId="46" applyFont="1" applyFill="1" applyBorder="1" applyAlignment="1">
      <alignment horizontal="right" vertical="top" wrapText="1"/>
    </xf>
    <xf numFmtId="0" fontId="29" fillId="0" borderId="11" xfId="0" applyFont="1" applyBorder="1" applyAlignment="1">
      <alignment horizontal="center"/>
    </xf>
    <xf numFmtId="0" fontId="37" fillId="0" borderId="13" xfId="0" applyFont="1" applyBorder="1" applyAlignment="1" applyProtection="1">
      <alignment horizontal="right"/>
      <protection/>
    </xf>
    <xf numFmtId="0" fontId="29" fillId="26" borderId="11" xfId="0" applyFont="1" applyFill="1" applyBorder="1" applyAlignment="1">
      <alignment horizontal="center" vertical="top" wrapText="1"/>
    </xf>
    <xf numFmtId="0" fontId="31" fillId="26" borderId="11" xfId="0" applyFont="1" applyFill="1" applyBorder="1" applyAlignment="1">
      <alignment horizontal="center" vertical="top" wrapText="1"/>
    </xf>
    <xf numFmtId="43" fontId="29" fillId="26" borderId="11" xfId="46" applyFont="1" applyFill="1" applyBorder="1" applyAlignment="1">
      <alignment horizontal="right" vertical="top" wrapText="1"/>
    </xf>
    <xf numFmtId="3" fontId="29" fillId="26" borderId="11" xfId="0" applyNumberFormat="1" applyFont="1" applyFill="1" applyBorder="1" applyAlignment="1">
      <alignment horizontal="center" vertical="top" wrapText="1"/>
    </xf>
    <xf numFmtId="222" fontId="31" fillId="26" borderId="11" xfId="46" applyNumberFormat="1" applyFont="1" applyFill="1" applyBorder="1" applyAlignment="1">
      <alignment horizontal="right" vertical="top" wrapText="1"/>
    </xf>
    <xf numFmtId="43" fontId="31" fillId="26" borderId="11" xfId="46" applyFont="1" applyFill="1" applyBorder="1" applyAlignment="1">
      <alignment horizontal="right" vertical="top" wrapText="1"/>
    </xf>
    <xf numFmtId="203" fontId="31" fillId="26" borderId="11" xfId="0" applyNumberFormat="1" applyFont="1" applyFill="1" applyBorder="1" applyAlignment="1">
      <alignment horizontal="center" vertical="top" wrapText="1"/>
    </xf>
    <xf numFmtId="0" fontId="31" fillId="26" borderId="11" xfId="0" applyFont="1" applyFill="1" applyBorder="1" applyAlignment="1">
      <alignment horizontal="left" vertical="top" wrapText="1"/>
    </xf>
    <xf numFmtId="2" fontId="31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vertical="top" shrinkToFit="1"/>
    </xf>
    <xf numFmtId="222" fontId="29" fillId="0" borderId="13" xfId="33" applyNumberFormat="1" applyFont="1" applyBorder="1" applyAlignment="1">
      <alignment horizontal="right" vertical="top" wrapText="1"/>
    </xf>
    <xf numFmtId="222" fontId="29" fillId="0" borderId="13" xfId="0" applyNumberFormat="1" applyFont="1" applyBorder="1" applyAlignment="1">
      <alignment horizontal="center" vertical="top" wrapText="1"/>
    </xf>
    <xf numFmtId="3" fontId="29" fillId="0" borderId="13" xfId="33" applyNumberFormat="1" applyFont="1" applyBorder="1" applyAlignment="1">
      <alignment horizontal="right" vertical="top" wrapText="1"/>
    </xf>
    <xf numFmtId="2" fontId="29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shrinkToFit="1"/>
    </xf>
    <xf numFmtId="43" fontId="31" fillId="0" borderId="0" xfId="33" applyFont="1" applyFill="1" applyBorder="1" applyAlignment="1">
      <alignment horizontal="right" vertical="top" wrapText="1"/>
    </xf>
    <xf numFmtId="222" fontId="31" fillId="0" borderId="0" xfId="0" applyNumberFormat="1" applyFont="1" applyFill="1" applyBorder="1" applyAlignment="1">
      <alignment horizontal="center" vertical="top" wrapText="1"/>
    </xf>
    <xf numFmtId="207" fontId="31" fillId="0" borderId="0" xfId="33" applyNumberFormat="1" applyFont="1" applyFill="1" applyBorder="1" applyAlignment="1">
      <alignment horizontal="right" vertical="top" wrapText="1"/>
    </xf>
    <xf numFmtId="3" fontId="31" fillId="0" borderId="0" xfId="33" applyNumberFormat="1" applyFont="1" applyFill="1" applyBorder="1" applyAlignment="1">
      <alignment horizontal="right" vertical="top" wrapText="1"/>
    </xf>
    <xf numFmtId="0" fontId="38" fillId="0" borderId="0" xfId="57" applyFont="1" applyAlignment="1">
      <alignment horizontal="left" vertical="center"/>
      <protection/>
    </xf>
    <xf numFmtId="0" fontId="30" fillId="0" borderId="0" xfId="58" applyFont="1" applyAlignment="1">
      <alignment vertical="top"/>
      <protection/>
    </xf>
    <xf numFmtId="0" fontId="39" fillId="0" borderId="0" xfId="58" applyFont="1">
      <alignment/>
      <protection/>
    </xf>
    <xf numFmtId="0" fontId="40" fillId="0" borderId="0" xfId="57" applyFont="1" applyAlignment="1">
      <alignment vertical="center"/>
      <protection/>
    </xf>
    <xf numFmtId="0" fontId="48" fillId="0" borderId="0" xfId="57" applyFont="1" applyAlignment="1">
      <alignment vertical="center"/>
      <protection/>
    </xf>
    <xf numFmtId="0" fontId="38" fillId="0" borderId="11" xfId="57" applyFont="1" applyBorder="1" applyAlignment="1">
      <alignment horizontal="center" vertical="center"/>
      <protection/>
    </xf>
    <xf numFmtId="9" fontId="38" fillId="0" borderId="11" xfId="62" applyFont="1" applyFill="1" applyBorder="1" applyAlignment="1">
      <alignment horizontal="center" vertical="center" wrapText="1"/>
    </xf>
    <xf numFmtId="0" fontId="41" fillId="0" borderId="18" xfId="57" applyFont="1" applyBorder="1" applyAlignment="1">
      <alignment horizontal="center"/>
      <protection/>
    </xf>
    <xf numFmtId="0" fontId="41" fillId="0" borderId="18" xfId="57" applyFont="1" applyBorder="1">
      <alignment/>
      <protection/>
    </xf>
    <xf numFmtId="43" fontId="41" fillId="0" borderId="18" xfId="44" applyFont="1" applyBorder="1" applyAlignment="1">
      <alignment horizontal="center"/>
    </xf>
    <xf numFmtId="0" fontId="41" fillId="0" borderId="18" xfId="44" applyNumberFormat="1" applyFont="1" applyBorder="1" applyAlignment="1">
      <alignment horizontal="center"/>
    </xf>
    <xf numFmtId="0" fontId="42" fillId="0" borderId="27" xfId="58" applyFont="1" applyBorder="1" applyAlignment="1">
      <alignment horizontal="center"/>
      <protection/>
    </xf>
    <xf numFmtId="0" fontId="42" fillId="0" borderId="27" xfId="58" applyFont="1" applyBorder="1" applyAlignment="1">
      <alignment wrapText="1"/>
      <protection/>
    </xf>
    <xf numFmtId="43" fontId="42" fillId="0" borderId="0" xfId="44" applyFont="1" applyAlignment="1">
      <alignment/>
    </xf>
    <xf numFmtId="9" fontId="42" fillId="0" borderId="28" xfId="62" applyFont="1" applyBorder="1" applyAlignment="1">
      <alignment horizontal="center"/>
    </xf>
    <xf numFmtId="43" fontId="42" fillId="0" borderId="0" xfId="44" applyFont="1" applyBorder="1" applyAlignment="1">
      <alignment/>
    </xf>
    <xf numFmtId="9" fontId="42" fillId="0" borderId="0" xfId="62" applyFont="1" applyBorder="1" applyAlignment="1">
      <alignment horizontal="center"/>
    </xf>
    <xf numFmtId="0" fontId="41" fillId="0" borderId="29" xfId="57" applyFont="1" applyBorder="1" applyAlignment="1">
      <alignment horizontal="center"/>
      <protection/>
    </xf>
    <xf numFmtId="0" fontId="41" fillId="0" borderId="29" xfId="57" applyFont="1" applyBorder="1">
      <alignment/>
      <protection/>
    </xf>
    <xf numFmtId="0" fontId="42" fillId="0" borderId="30" xfId="57" applyFont="1" applyBorder="1">
      <alignment/>
      <protection/>
    </xf>
    <xf numFmtId="43" fontId="41" fillId="0" borderId="31" xfId="44" applyFont="1" applyBorder="1" applyAlignment="1">
      <alignment/>
    </xf>
    <xf numFmtId="9" fontId="41" fillId="0" borderId="31" xfId="44" applyNumberFormat="1" applyFont="1" applyBorder="1" applyAlignment="1">
      <alignment horizontal="center"/>
    </xf>
    <xf numFmtId="0" fontId="41" fillId="0" borderId="31" xfId="44" applyNumberFormat="1" applyFont="1" applyBorder="1" applyAlignment="1">
      <alignment horizontal="center"/>
    </xf>
    <xf numFmtId="0" fontId="38" fillId="0" borderId="0" xfId="57" applyFont="1" applyAlignment="1">
      <alignment vertical="center"/>
      <protection/>
    </xf>
    <xf numFmtId="0" fontId="42" fillId="0" borderId="28" xfId="62" applyNumberFormat="1" applyFont="1" applyBorder="1" applyAlignment="1">
      <alignment horizontal="center"/>
    </xf>
    <xf numFmtId="0" fontId="42" fillId="0" borderId="0" xfId="62" applyNumberFormat="1" applyFont="1" applyBorder="1" applyAlignment="1">
      <alignment horizontal="center"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2" fillId="0" borderId="28" xfId="58" applyFont="1" applyBorder="1" applyAlignment="1">
      <alignment horizontal="center"/>
      <protection/>
    </xf>
    <xf numFmtId="9" fontId="41" fillId="0" borderId="18" xfId="44" applyNumberFormat="1" applyFont="1" applyBorder="1" applyAlignment="1">
      <alignment horizontal="center"/>
    </xf>
    <xf numFmtId="0" fontId="42" fillId="0" borderId="28" xfId="58" applyFont="1" applyBorder="1" applyAlignment="1">
      <alignment wrapText="1"/>
      <protection/>
    </xf>
    <xf numFmtId="0" fontId="42" fillId="0" borderId="27" xfId="58" applyFont="1" applyBorder="1" applyAlignment="1">
      <alignment horizontal="center" vertical="center"/>
      <protection/>
    </xf>
    <xf numFmtId="4" fontId="29" fillId="26" borderId="11" xfId="0" applyNumberFormat="1" applyFont="1" applyFill="1" applyBorder="1" applyAlignment="1">
      <alignment horizontal="right" vertical="top" wrapText="1"/>
    </xf>
    <xf numFmtId="196" fontId="29" fillId="26" borderId="11" xfId="0" applyNumberFormat="1" applyFont="1" applyFill="1" applyBorder="1" applyAlignment="1">
      <alignment horizontal="right" vertical="top" wrapText="1"/>
    </xf>
    <xf numFmtId="0" fontId="43" fillId="0" borderId="28" xfId="58" applyFont="1" applyBorder="1" applyAlignment="1">
      <alignment wrapText="1"/>
      <protection/>
    </xf>
    <xf numFmtId="0" fontId="39" fillId="0" borderId="11" xfId="0" applyFont="1" applyBorder="1" applyAlignment="1">
      <alignment vertical="top" shrinkToFit="1"/>
    </xf>
    <xf numFmtId="0" fontId="36" fillId="0" borderId="0" xfId="56" applyFont="1" applyFill="1" applyAlignment="1">
      <alignment horizontal="center"/>
      <protection/>
    </xf>
    <xf numFmtId="0" fontId="34" fillId="0" borderId="0" xfId="56" applyFont="1" applyFill="1" applyAlignment="1">
      <alignment horizontal="center"/>
      <protection/>
    </xf>
    <xf numFmtId="0" fontId="34" fillId="0" borderId="0" xfId="56" applyFont="1" applyFill="1" applyAlignment="1" applyProtection="1">
      <alignment horizontal="center"/>
      <protection locked="0"/>
    </xf>
    <xf numFmtId="0" fontId="28" fillId="0" borderId="0" xfId="56" applyFont="1" applyFill="1" applyAlignment="1">
      <alignment horizontal="center"/>
      <protection/>
    </xf>
    <xf numFmtId="3" fontId="31" fillId="0" borderId="32" xfId="0" applyNumberFormat="1" applyFont="1" applyBorder="1" applyAlignment="1" applyProtection="1">
      <alignment horizontal="center"/>
      <protection/>
    </xf>
    <xf numFmtId="3" fontId="31" fillId="0" borderId="31" xfId="0" applyNumberFormat="1" applyFont="1" applyBorder="1" applyAlignment="1" applyProtection="1">
      <alignment horizontal="center"/>
      <protection/>
    </xf>
    <xf numFmtId="3" fontId="31" fillId="0" borderId="33" xfId="0" applyNumberFormat="1" applyFont="1" applyBorder="1" applyAlignment="1" applyProtection="1">
      <alignment horizontal="center"/>
      <protection/>
    </xf>
    <xf numFmtId="0" fontId="31" fillId="0" borderId="21" xfId="0" applyFont="1" applyBorder="1" applyAlignment="1" applyProtection="1">
      <alignment horizontal="left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8" fillId="16" borderId="21" xfId="0" applyFont="1" applyFill="1" applyBorder="1" applyAlignment="1" applyProtection="1">
      <alignment horizontal="center"/>
      <protection/>
    </xf>
    <xf numFmtId="0" fontId="28" fillId="16" borderId="26" xfId="0" applyFont="1" applyFill="1" applyBorder="1" applyAlignment="1" applyProtection="1">
      <alignment horizontal="center"/>
      <protection/>
    </xf>
    <xf numFmtId="0" fontId="28" fillId="16" borderId="22" xfId="0" applyFont="1" applyFill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 horizontal="left"/>
      <protection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3" fontId="31" fillId="0" borderId="34" xfId="0" applyNumberFormat="1" applyFont="1" applyBorder="1" applyAlignment="1" applyProtection="1">
      <alignment horizontal="center"/>
      <protection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31" fillId="0" borderId="22" xfId="0" applyFont="1" applyBorder="1" applyAlignment="1" applyProtection="1">
      <alignment horizontal="left"/>
      <protection/>
    </xf>
    <xf numFmtId="3" fontId="29" fillId="0" borderId="24" xfId="0" applyNumberFormat="1" applyFont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 horizontal="center"/>
      <protection/>
    </xf>
    <xf numFmtId="3" fontId="29" fillId="0" borderId="25" xfId="0" applyNumberFormat="1" applyFont="1" applyBorder="1" applyAlignment="1" applyProtection="1">
      <alignment horizontal="center"/>
      <protection/>
    </xf>
    <xf numFmtId="0" fontId="29" fillId="0" borderId="24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25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16" borderId="19" xfId="0" applyFont="1" applyFill="1" applyBorder="1" applyAlignment="1" applyProtection="1">
      <alignment horizontal="center"/>
      <protection/>
    </xf>
    <xf numFmtId="0" fontId="31" fillId="16" borderId="23" xfId="0" applyFont="1" applyFill="1" applyBorder="1" applyAlignment="1" applyProtection="1">
      <alignment horizontal="center"/>
      <protection/>
    </xf>
    <xf numFmtId="0" fontId="31" fillId="16" borderId="20" xfId="0" applyFont="1" applyFill="1" applyBorder="1" applyAlignment="1" applyProtection="1">
      <alignment horizontal="center"/>
      <protection/>
    </xf>
    <xf numFmtId="0" fontId="31" fillId="16" borderId="12" xfId="0" applyFont="1" applyFill="1" applyBorder="1" applyAlignment="1" applyProtection="1">
      <alignment horizontal="center"/>
      <protection/>
    </xf>
    <xf numFmtId="3" fontId="31" fillId="0" borderId="35" xfId="0" applyNumberFormat="1" applyFont="1" applyBorder="1" applyAlignment="1" applyProtection="1">
      <alignment horizontal="center"/>
      <protection/>
    </xf>
    <xf numFmtId="3" fontId="31" fillId="0" borderId="36" xfId="0" applyNumberFormat="1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19" xfId="0" applyFont="1" applyFill="1" applyBorder="1" applyAlignment="1" applyProtection="1">
      <alignment horizontal="left"/>
      <protection/>
    </xf>
    <xf numFmtId="0" fontId="31" fillId="0" borderId="23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23" xfId="0" applyFont="1" applyFill="1" applyBorder="1" applyAlignment="1" applyProtection="1">
      <alignment horizontal="center"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31" fillId="0" borderId="32" xfId="0" applyNumberFormat="1" applyFont="1" applyFill="1" applyBorder="1" applyAlignment="1" applyProtection="1">
      <alignment horizontal="center"/>
      <protection/>
    </xf>
    <xf numFmtId="3" fontId="31" fillId="0" borderId="31" xfId="0" applyNumberFormat="1" applyFont="1" applyFill="1" applyBorder="1" applyAlignment="1" applyProtection="1">
      <alignment horizontal="center"/>
      <protection/>
    </xf>
    <xf numFmtId="3" fontId="31" fillId="0" borderId="33" xfId="0" applyNumberFormat="1" applyFont="1" applyFill="1" applyBorder="1" applyAlignment="1" applyProtection="1">
      <alignment horizontal="center"/>
      <protection/>
    </xf>
    <xf numFmtId="198" fontId="30" fillId="16" borderId="14" xfId="0" applyNumberFormat="1" applyFont="1" applyFill="1" applyBorder="1" applyAlignment="1" applyProtection="1">
      <alignment horizontal="center"/>
      <protection hidden="1"/>
    </xf>
    <xf numFmtId="198" fontId="30" fillId="16" borderId="16" xfId="0" applyNumberFormat="1" applyFont="1" applyFill="1" applyBorder="1" applyAlignment="1" applyProtection="1">
      <alignment horizontal="center"/>
      <protection hidden="1"/>
    </xf>
    <xf numFmtId="0" fontId="31" fillId="16" borderId="14" xfId="0" applyFont="1" applyFill="1" applyBorder="1" applyAlignment="1" applyProtection="1">
      <alignment horizontal="center"/>
      <protection hidden="1"/>
    </xf>
    <xf numFmtId="0" fontId="31" fillId="16" borderId="16" xfId="0" applyFont="1" applyFill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16" xfId="0" applyFont="1" applyBorder="1" applyAlignment="1" applyProtection="1">
      <alignment horizontal="left"/>
      <protection hidden="1"/>
    </xf>
    <xf numFmtId="0" fontId="31" fillId="16" borderId="14" xfId="0" applyFont="1" applyFill="1" applyBorder="1" applyAlignment="1" applyProtection="1">
      <alignment horizontal="left"/>
      <protection hidden="1"/>
    </xf>
    <xf numFmtId="0" fontId="31" fillId="16" borderId="15" xfId="0" applyFont="1" applyFill="1" applyBorder="1" applyAlignment="1" applyProtection="1">
      <alignment horizontal="left"/>
      <protection hidden="1"/>
    </xf>
    <xf numFmtId="0" fontId="31" fillId="16" borderId="16" xfId="0" applyFont="1" applyFill="1" applyBorder="1" applyAlignment="1" applyProtection="1">
      <alignment horizontal="left"/>
      <protection hidden="1"/>
    </xf>
    <xf numFmtId="0" fontId="31" fillId="16" borderId="21" xfId="0" applyFont="1" applyFill="1" applyBorder="1" applyAlignment="1" applyProtection="1">
      <alignment horizontal="center"/>
      <protection hidden="1"/>
    </xf>
    <xf numFmtId="0" fontId="31" fillId="16" borderId="26" xfId="0" applyFont="1" applyFill="1" applyBorder="1" applyAlignment="1" applyProtection="1">
      <alignment horizontal="center"/>
      <protection hidden="1"/>
    </xf>
    <xf numFmtId="0" fontId="31" fillId="16" borderId="22" xfId="0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1" fillId="16" borderId="19" xfId="0" applyFont="1" applyFill="1" applyBorder="1" applyAlignment="1" applyProtection="1">
      <alignment horizontal="center"/>
      <protection hidden="1"/>
    </xf>
    <xf numFmtId="0" fontId="31" fillId="16" borderId="23" xfId="0" applyFont="1" applyFill="1" applyBorder="1" applyAlignment="1" applyProtection="1">
      <alignment horizontal="center"/>
      <protection hidden="1"/>
    </xf>
    <xf numFmtId="0" fontId="31" fillId="16" borderId="20" xfId="0" applyFont="1" applyFill="1" applyBorder="1" applyAlignment="1" applyProtection="1">
      <alignment horizontal="center"/>
      <protection hidden="1"/>
    </xf>
    <xf numFmtId="43" fontId="31" fillId="0" borderId="14" xfId="46" applyFont="1" applyFill="1" applyBorder="1" applyAlignment="1">
      <alignment horizontal="center"/>
    </xf>
    <xf numFmtId="43" fontId="31" fillId="0" borderId="16" xfId="46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0" xfId="55" applyFont="1" applyFill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 vertical="top"/>
      <protection/>
    </xf>
    <xf numFmtId="205" fontId="2" fillId="0" borderId="24" xfId="55" applyNumberFormat="1" applyFont="1" applyFill="1" applyBorder="1" applyAlignment="1">
      <alignment horizontal="center" vertical="top"/>
      <protection/>
    </xf>
    <xf numFmtId="205" fontId="2" fillId="0" borderId="25" xfId="55" applyNumberFormat="1" applyFont="1" applyFill="1" applyBorder="1" applyAlignment="1">
      <alignment horizontal="center" vertical="top"/>
      <protection/>
    </xf>
    <xf numFmtId="205" fontId="2" fillId="0" borderId="21" xfId="55" applyNumberFormat="1" applyFont="1" applyFill="1" applyBorder="1" applyAlignment="1">
      <alignment horizontal="center" vertical="top"/>
      <protection/>
    </xf>
    <xf numFmtId="205" fontId="2" fillId="0" borderId="22" xfId="55" applyNumberFormat="1" applyFont="1" applyFill="1" applyBorder="1" applyAlignment="1">
      <alignment horizontal="center" vertical="top"/>
      <protection/>
    </xf>
    <xf numFmtId="205" fontId="2" fillId="0" borderId="19" xfId="55" applyNumberFormat="1" applyFont="1" applyFill="1" applyBorder="1" applyAlignment="1">
      <alignment horizontal="center" vertical="top"/>
      <protection/>
    </xf>
    <xf numFmtId="205" fontId="2" fillId="0" borderId="20" xfId="55" applyNumberFormat="1" applyFont="1" applyFill="1" applyBorder="1" applyAlignment="1">
      <alignment horizontal="center" vertical="top"/>
      <protection/>
    </xf>
    <xf numFmtId="0" fontId="2" fillId="16" borderId="19" xfId="55" applyFont="1" applyFill="1" applyBorder="1" applyAlignment="1">
      <alignment horizontal="center" vertical="top"/>
      <protection/>
    </xf>
    <xf numFmtId="0" fontId="2" fillId="16" borderId="20" xfId="55" applyFont="1" applyFill="1" applyBorder="1" applyAlignment="1">
      <alignment horizontal="center" vertical="top"/>
      <protection/>
    </xf>
    <xf numFmtId="0" fontId="2" fillId="16" borderId="23" xfId="55" applyFont="1" applyFill="1" applyBorder="1" applyAlignment="1">
      <alignment horizontal="center" vertical="top"/>
      <protection/>
    </xf>
    <xf numFmtId="0" fontId="2" fillId="16" borderId="19" xfId="55" applyFont="1" applyFill="1" applyBorder="1" applyAlignment="1">
      <alignment horizontal="center" vertical="center"/>
      <protection/>
    </xf>
    <xf numFmtId="0" fontId="2" fillId="16" borderId="20" xfId="55" applyFont="1" applyFill="1" applyBorder="1" applyAlignment="1">
      <alignment horizontal="center" vertical="center"/>
      <protection/>
    </xf>
    <xf numFmtId="0" fontId="2" fillId="16" borderId="24" xfId="55" applyFont="1" applyFill="1" applyBorder="1" applyAlignment="1">
      <alignment horizontal="center" vertical="center"/>
      <protection/>
    </xf>
    <xf numFmtId="0" fontId="2" fillId="16" borderId="25" xfId="55" applyFont="1" applyFill="1" applyBorder="1" applyAlignment="1">
      <alignment horizontal="center" vertical="center"/>
      <protection/>
    </xf>
    <xf numFmtId="0" fontId="2" fillId="16" borderId="21" xfId="55" applyFont="1" applyFill="1" applyBorder="1" applyAlignment="1">
      <alignment horizontal="center" vertical="center"/>
      <protection/>
    </xf>
    <xf numFmtId="0" fontId="2" fillId="16" borderId="22" xfId="55" applyFont="1" applyFill="1" applyBorder="1" applyAlignment="1">
      <alignment horizontal="center" vertical="center"/>
      <protection/>
    </xf>
    <xf numFmtId="0" fontId="2" fillId="16" borderId="24" xfId="55" applyFont="1" applyFill="1" applyBorder="1" applyAlignment="1">
      <alignment horizontal="center" vertical="top"/>
      <protection/>
    </xf>
    <xf numFmtId="0" fontId="2" fillId="16" borderId="25" xfId="55" applyFont="1" applyFill="1" applyBorder="1" applyAlignment="1">
      <alignment horizontal="center" vertical="top"/>
      <protection/>
    </xf>
    <xf numFmtId="0" fontId="2" fillId="16" borderId="24" xfId="55" applyFont="1" applyFill="1" applyBorder="1" applyAlignment="1">
      <alignment horizontal="center"/>
      <protection/>
    </xf>
    <xf numFmtId="0" fontId="2" fillId="16" borderId="26" xfId="55" applyFont="1" applyFill="1" applyBorder="1" applyAlignment="1">
      <alignment horizontal="center"/>
      <protection/>
    </xf>
    <xf numFmtId="0" fontId="2" fillId="16" borderId="22" xfId="55" applyFont="1" applyFill="1" applyBorder="1" applyAlignment="1">
      <alignment horizontal="center"/>
      <protection/>
    </xf>
    <xf numFmtId="0" fontId="2" fillId="16" borderId="0" xfId="55" applyFont="1" applyFill="1" applyBorder="1" applyAlignment="1">
      <alignment horizontal="center" vertical="top"/>
      <protection/>
    </xf>
    <xf numFmtId="0" fontId="2" fillId="16" borderId="21" xfId="55" applyFont="1" applyFill="1" applyBorder="1" applyAlignment="1">
      <alignment horizontal="center" vertical="top"/>
      <protection/>
    </xf>
    <xf numFmtId="0" fontId="2" fillId="16" borderId="26" xfId="55" applyFont="1" applyFill="1" applyBorder="1" applyAlignment="1">
      <alignment horizontal="center" vertical="top"/>
      <protection/>
    </xf>
    <xf numFmtId="0" fontId="0" fillId="16" borderId="22" xfId="55" applyFill="1" applyBorder="1">
      <alignment/>
      <protection/>
    </xf>
    <xf numFmtId="205" fontId="2" fillId="0" borderId="11" xfId="55" applyNumberFormat="1" applyFont="1" applyFill="1" applyBorder="1" applyAlignment="1">
      <alignment horizontal="center" vertical="top"/>
      <protection/>
    </xf>
    <xf numFmtId="205" fontId="2" fillId="0" borderId="14" xfId="55" applyNumberFormat="1" applyFont="1" applyFill="1" applyBorder="1" applyAlignment="1">
      <alignment horizontal="center" vertical="top"/>
      <protection/>
    </xf>
    <xf numFmtId="205" fontId="2" fillId="0" borderId="16" xfId="55" applyNumberFormat="1" applyFont="1" applyFill="1" applyBorder="1" applyAlignment="1">
      <alignment horizontal="center" vertical="top"/>
      <protection/>
    </xf>
    <xf numFmtId="205" fontId="3" fillId="0" borderId="14" xfId="55" applyNumberFormat="1" applyFont="1" applyFill="1" applyBorder="1" applyAlignment="1">
      <alignment horizontal="center" vertical="center"/>
      <protection/>
    </xf>
    <xf numFmtId="205" fontId="3" fillId="0" borderId="16" xfId="55" applyNumberFormat="1" applyFont="1" applyFill="1" applyBorder="1" applyAlignment="1">
      <alignment horizontal="center" vertical="center"/>
      <protection/>
    </xf>
    <xf numFmtId="205" fontId="8" fillId="0" borderId="0" xfId="55" applyNumberFormat="1" applyFont="1" applyFill="1" applyBorder="1" applyAlignment="1">
      <alignment horizontal="center" vertical="top"/>
      <protection/>
    </xf>
    <xf numFmtId="0" fontId="7" fillId="0" borderId="0" xfId="55" applyFont="1" applyFill="1" applyBorder="1" applyAlignment="1">
      <alignment horizontal="center" vertical="top"/>
      <protection/>
    </xf>
    <xf numFmtId="0" fontId="1" fillId="0" borderId="0" xfId="55" applyFont="1" applyFill="1" applyBorder="1" applyAlignment="1">
      <alignment horizontal="center" vertical="top"/>
      <protection/>
    </xf>
    <xf numFmtId="0" fontId="3" fillId="0" borderId="19" xfId="55" applyFont="1" applyFill="1" applyBorder="1" applyAlignment="1">
      <alignment horizontal="left" vertical="top"/>
      <protection/>
    </xf>
    <xf numFmtId="0" fontId="3" fillId="0" borderId="23" xfId="55" applyFont="1" applyFill="1" applyBorder="1" applyAlignment="1">
      <alignment horizontal="left" vertical="top"/>
      <protection/>
    </xf>
    <xf numFmtId="0" fontId="0" fillId="16" borderId="20" xfId="55" applyFill="1" applyBorder="1">
      <alignment/>
      <protection/>
    </xf>
    <xf numFmtId="0" fontId="2" fillId="16" borderId="22" xfId="55" applyFont="1" applyFill="1" applyBorder="1" applyAlignment="1">
      <alignment horizontal="center" vertical="top"/>
      <protection/>
    </xf>
    <xf numFmtId="0" fontId="0" fillId="16" borderId="25" xfId="55" applyFill="1" applyBorder="1">
      <alignment/>
      <protection/>
    </xf>
    <xf numFmtId="0" fontId="30" fillId="0" borderId="0" xfId="57" applyFont="1" applyAlignment="1">
      <alignment horizontal="center" vertical="center"/>
      <protection/>
    </xf>
    <xf numFmtId="0" fontId="38" fillId="0" borderId="0" xfId="57" applyFont="1" applyAlignment="1">
      <alignment horizontal="left" vertical="center"/>
      <protection/>
    </xf>
    <xf numFmtId="3" fontId="38" fillId="0" borderId="0" xfId="57" applyNumberFormat="1" applyFont="1" applyAlignment="1">
      <alignment horizontal="center" vertical="center"/>
      <protection/>
    </xf>
    <xf numFmtId="0" fontId="38" fillId="0" borderId="0" xfId="57" applyFont="1" applyAlignment="1">
      <alignment horizontal="center" vertical="center"/>
      <protection/>
    </xf>
    <xf numFmtId="0" fontId="39" fillId="0" borderId="0" xfId="58" applyFont="1" applyAlignment="1">
      <alignment horizontal="left" vertical="top"/>
      <protection/>
    </xf>
    <xf numFmtId="0" fontId="0" fillId="0" borderId="0" xfId="0" applyAlignment="1">
      <alignment horizontal="left"/>
    </xf>
    <xf numFmtId="4" fontId="29" fillId="0" borderId="11" xfId="33" applyNumberFormat="1" applyFont="1" applyBorder="1" applyAlignment="1">
      <alignment horizontal="right" vertical="top" wrapText="1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Comma 3" xfId="34"/>
    <cellStyle name="Excel Built-in Normal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" xfId="42"/>
    <cellStyle name="เครื่องหมายจุลภาค 2 2" xfId="43"/>
    <cellStyle name="เครื่องหมายจุลภาค 3" xfId="44"/>
    <cellStyle name="เครื่องหมายจุลภาค 4" xfId="45"/>
    <cellStyle name="Comma" xfId="46"/>
    <cellStyle name="Comma [0]" xfId="47"/>
    <cellStyle name="ชื่อเรื่อง" xfId="48"/>
    <cellStyle name="เซลล์ตรวจสอบ" xfId="49"/>
    <cellStyle name="เซลล์ที่มีการเชื่อมโยง" xfId="50"/>
    <cellStyle name="เซลล์ที่มีลิงก์" xfId="51"/>
    <cellStyle name="ดี" xfId="52"/>
    <cellStyle name="ปกติ 13" xfId="53"/>
    <cellStyle name="ปกติ 2" xfId="54"/>
    <cellStyle name="ปกติ 2 3" xfId="55"/>
    <cellStyle name="ปกติ 4" xfId="56"/>
    <cellStyle name="ปกติ 5" xfId="57"/>
    <cellStyle name="ปกติ 6" xfId="58"/>
    <cellStyle name="ป้อนค่า" xfId="59"/>
    <cellStyle name="ปานกลาง" xfId="60"/>
    <cellStyle name="Percent" xfId="61"/>
    <cellStyle name="เปอร์เซ็นต์ 2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95250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476250</xdr:colOff>
      <xdr:row>2</xdr:row>
      <xdr:rowOff>171450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152400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&#3611;&#3637;%202555\&#3648;&#3604;&#3639;&#3629;&#3609;%20&#3617;.&#3588;%2055\&#3591;&#3634;&#3609;&#3606;&#3609;&#3609;%20&#3588;&#3626;&#3621;\&#3591;&#3634;&#3609;&#3606;&#3609;&#3609;&#3588;&#3629;&#3609;&#3585;&#3619;&#3637;&#3605;&#3648;&#3626;&#3619;&#3636;&#3617;&#3648;&#3627;&#3621;&#3655;&#3585;%20(&#3619;&#3634;&#3588;&#3634;&#3585;&#3621;&#3634;&#359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&#3605;&#3636;&#3604;&#3605;&#3633;&#3657;&#3591;&#3605;&#3634;&#3586;&#3656;&#3634;&#3618;&#3585;&#3633;&#3609;&#3609;&#3585;\&#3605;&#3636;&#3604;&#3605;&#3633;&#3657;&#3591;&#3605;&#3634;&#3586;&#3656;&#3634;&#3618;&#3585;&#3633;&#3609;&#3609;&#3585;%20(15%20&#3614;.&#3588;%2063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6">
          <cell r="I6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8" sqref="B8:I8"/>
    </sheetView>
  </sheetViews>
  <sheetFormatPr defaultColWidth="9.140625" defaultRowHeight="21.75"/>
  <cols>
    <col min="1" max="16384" width="9.140625" style="61" customWidth="1"/>
  </cols>
  <sheetData>
    <row r="1" spans="2:10" ht="21.75">
      <c r="B1" s="60"/>
      <c r="C1" s="60"/>
      <c r="D1" s="60"/>
      <c r="E1" s="60"/>
      <c r="F1" s="60"/>
      <c r="G1" s="60"/>
      <c r="H1" s="60"/>
      <c r="I1" s="60"/>
      <c r="J1" s="60"/>
    </row>
    <row r="2" spans="2:10" ht="21.75">
      <c r="B2" s="60"/>
      <c r="C2" s="60"/>
      <c r="D2" s="60"/>
      <c r="E2" s="60"/>
      <c r="F2" s="60"/>
      <c r="G2" s="60"/>
      <c r="H2" s="60"/>
      <c r="I2" s="60"/>
      <c r="J2" s="60"/>
    </row>
    <row r="3" spans="2:10" ht="21.75">
      <c r="B3" s="60"/>
      <c r="C3" s="60"/>
      <c r="D3" s="60"/>
      <c r="E3" s="60"/>
      <c r="F3" s="60"/>
      <c r="G3" s="60"/>
      <c r="H3" s="60"/>
      <c r="I3" s="60"/>
      <c r="J3" s="60"/>
    </row>
    <row r="4" spans="2:10" ht="21.75">
      <c r="B4" s="60"/>
      <c r="C4" s="60"/>
      <c r="D4" s="60"/>
      <c r="E4" s="60"/>
      <c r="F4" s="60"/>
      <c r="G4" s="60"/>
      <c r="H4" s="60"/>
      <c r="I4" s="60"/>
      <c r="J4" s="60"/>
    </row>
    <row r="5" spans="2:10" ht="21.75">
      <c r="B5" s="60"/>
      <c r="C5" s="60"/>
      <c r="D5" s="60"/>
      <c r="E5" s="60"/>
      <c r="F5" s="60"/>
      <c r="G5" s="60"/>
      <c r="H5" s="60"/>
      <c r="I5" s="60"/>
      <c r="J5" s="60"/>
    </row>
    <row r="6" spans="2:10" ht="21.75">
      <c r="B6" s="60"/>
      <c r="C6" s="60"/>
      <c r="D6" s="60"/>
      <c r="E6" s="60"/>
      <c r="F6" s="60"/>
      <c r="G6" s="60"/>
      <c r="H6" s="60"/>
      <c r="I6" s="60"/>
      <c r="J6" s="60"/>
    </row>
    <row r="7" spans="2:10" ht="21.75">
      <c r="B7" s="60"/>
      <c r="C7" s="60"/>
      <c r="D7" s="60"/>
      <c r="E7" s="60"/>
      <c r="F7" s="60"/>
      <c r="G7" s="60"/>
      <c r="H7" s="60"/>
      <c r="I7" s="60"/>
      <c r="J7" s="60"/>
    </row>
    <row r="8" spans="2:10" ht="36">
      <c r="B8" s="239" t="s">
        <v>77</v>
      </c>
      <c r="C8" s="239"/>
      <c r="D8" s="239"/>
      <c r="E8" s="239"/>
      <c r="F8" s="239"/>
      <c r="G8" s="239"/>
      <c r="H8" s="239"/>
      <c r="I8" s="239"/>
      <c r="J8" s="62"/>
    </row>
    <row r="9" spans="2:10" ht="21">
      <c r="B9" s="60"/>
      <c r="C9" s="60"/>
      <c r="D9" s="60"/>
      <c r="E9" s="60"/>
      <c r="F9" s="60"/>
      <c r="G9" s="60"/>
      <c r="H9" s="60"/>
      <c r="I9" s="60"/>
      <c r="J9" s="60"/>
    </row>
    <row r="10" spans="2:10" ht="33">
      <c r="B10" s="240" t="str">
        <f>สรุป!A2</f>
        <v>ปรับปรุงอาคารเรียนอาคารพลังงาน</v>
      </c>
      <c r="C10" s="240"/>
      <c r="D10" s="240"/>
      <c r="E10" s="240"/>
      <c r="F10" s="240"/>
      <c r="G10" s="240"/>
      <c r="H10" s="240"/>
      <c r="I10" s="240"/>
      <c r="J10" s="63"/>
    </row>
    <row r="11" spans="2:10" ht="33">
      <c r="B11" s="240" t="s">
        <v>13</v>
      </c>
      <c r="C11" s="240"/>
      <c r="D11" s="240"/>
      <c r="E11" s="240"/>
      <c r="F11" s="240"/>
      <c r="G11" s="240"/>
      <c r="H11" s="240"/>
      <c r="I11" s="240"/>
      <c r="J11" s="63"/>
    </row>
    <row r="12" spans="2:10" ht="21">
      <c r="B12" s="60"/>
      <c r="C12" s="60"/>
      <c r="D12" s="60"/>
      <c r="E12" s="60"/>
      <c r="F12" s="60"/>
      <c r="G12" s="60"/>
      <c r="H12" s="60"/>
      <c r="I12" s="60"/>
      <c r="J12" s="60"/>
    </row>
    <row r="13" spans="2:10" ht="21">
      <c r="B13" s="60"/>
      <c r="C13" s="60"/>
      <c r="D13" s="60"/>
      <c r="E13" s="60"/>
      <c r="F13" s="60"/>
      <c r="G13" s="60"/>
      <c r="H13" s="60"/>
      <c r="I13" s="60"/>
      <c r="J13" s="60"/>
    </row>
    <row r="14" spans="2:10" ht="21">
      <c r="B14" s="60"/>
      <c r="C14" s="60"/>
      <c r="D14" s="60"/>
      <c r="E14" s="60"/>
      <c r="F14" s="60"/>
      <c r="G14" s="60"/>
      <c r="H14" s="60"/>
      <c r="I14" s="60"/>
      <c r="J14" s="60"/>
    </row>
    <row r="15" spans="2:10" ht="21">
      <c r="B15" s="60"/>
      <c r="C15" s="60"/>
      <c r="D15" s="60"/>
      <c r="E15" s="60"/>
      <c r="F15" s="60"/>
      <c r="G15" s="60"/>
      <c r="H15" s="60"/>
      <c r="I15" s="60"/>
      <c r="J15" s="60"/>
    </row>
    <row r="16" spans="2:10" ht="21">
      <c r="B16" s="60"/>
      <c r="C16" s="60"/>
      <c r="D16" s="60"/>
      <c r="E16" s="60"/>
      <c r="F16" s="60"/>
      <c r="G16" s="60"/>
      <c r="H16" s="60"/>
      <c r="I16" s="60"/>
      <c r="J16" s="60"/>
    </row>
    <row r="17" spans="2:10" ht="21">
      <c r="B17" s="60"/>
      <c r="C17" s="60"/>
      <c r="D17" s="60"/>
      <c r="E17" s="60"/>
      <c r="F17" s="60"/>
      <c r="G17" s="60"/>
      <c r="H17" s="60"/>
      <c r="I17" s="60"/>
      <c r="J17" s="60"/>
    </row>
    <row r="18" spans="2:10" ht="21">
      <c r="B18" s="60"/>
      <c r="C18" s="60"/>
      <c r="D18" s="60"/>
      <c r="E18" s="60"/>
      <c r="F18" s="60"/>
      <c r="G18" s="60"/>
      <c r="H18" s="60"/>
      <c r="I18" s="60"/>
      <c r="J18" s="60"/>
    </row>
    <row r="19" spans="2:10" ht="21">
      <c r="B19" s="60"/>
      <c r="C19" s="60"/>
      <c r="D19" s="60"/>
      <c r="E19" s="60"/>
      <c r="F19" s="60"/>
      <c r="G19" s="60"/>
      <c r="H19" s="60"/>
      <c r="I19" s="60"/>
      <c r="J19" s="60"/>
    </row>
    <row r="20" spans="2:10" ht="21">
      <c r="B20" s="60"/>
      <c r="C20" s="60"/>
      <c r="D20" s="60"/>
      <c r="E20" s="60"/>
      <c r="F20" s="60"/>
      <c r="G20" s="60"/>
      <c r="H20" s="60"/>
      <c r="I20" s="60"/>
      <c r="J20" s="60"/>
    </row>
    <row r="21" spans="2:10" ht="21">
      <c r="B21" s="60"/>
      <c r="C21" s="60"/>
      <c r="D21" s="60"/>
      <c r="E21" s="60"/>
      <c r="F21" s="60"/>
      <c r="G21" s="60"/>
      <c r="H21" s="60"/>
      <c r="I21" s="60"/>
      <c r="J21" s="60"/>
    </row>
    <row r="22" spans="2:10" ht="21">
      <c r="B22" s="60"/>
      <c r="C22" s="60"/>
      <c r="D22" s="60"/>
      <c r="E22" s="60"/>
      <c r="F22" s="60"/>
      <c r="G22" s="60"/>
      <c r="H22" s="60"/>
      <c r="I22" s="60"/>
      <c r="J22" s="60"/>
    </row>
    <row r="23" spans="2:10" ht="21">
      <c r="B23" s="60"/>
      <c r="C23" s="60"/>
      <c r="D23" s="60"/>
      <c r="E23" s="60"/>
      <c r="F23" s="60"/>
      <c r="G23" s="60"/>
      <c r="H23" s="60"/>
      <c r="I23" s="60"/>
      <c r="J23" s="60"/>
    </row>
    <row r="24" spans="2:10" ht="21">
      <c r="B24" s="60"/>
      <c r="C24" s="60"/>
      <c r="D24" s="60"/>
      <c r="E24" s="60"/>
      <c r="F24" s="60"/>
      <c r="G24" s="60"/>
      <c r="H24" s="60"/>
      <c r="I24" s="60"/>
      <c r="J24" s="60"/>
    </row>
    <row r="25" spans="2:10" ht="21">
      <c r="B25" s="60"/>
      <c r="C25" s="60"/>
      <c r="D25" s="60"/>
      <c r="E25" s="60"/>
      <c r="F25" s="60"/>
      <c r="G25" s="60"/>
      <c r="H25" s="60"/>
      <c r="I25" s="60"/>
      <c r="J25" s="60"/>
    </row>
    <row r="26" spans="2:10" ht="21">
      <c r="B26" s="60"/>
      <c r="C26" s="60"/>
      <c r="D26" s="60"/>
      <c r="E26" s="60"/>
      <c r="F26" s="60"/>
      <c r="G26" s="60"/>
      <c r="H26" s="60"/>
      <c r="I26" s="60"/>
      <c r="J26" s="60"/>
    </row>
    <row r="27" spans="2:10" ht="27">
      <c r="B27" s="241" t="s">
        <v>17</v>
      </c>
      <c r="C27" s="241"/>
      <c r="D27" s="241"/>
      <c r="E27" s="241"/>
      <c r="F27" s="241"/>
      <c r="G27" s="241"/>
      <c r="H27" s="241"/>
      <c r="I27" s="241"/>
      <c r="J27" s="64"/>
    </row>
    <row r="28" spans="2:10" ht="27">
      <c r="B28" s="65"/>
      <c r="C28" s="65"/>
      <c r="D28" s="65"/>
      <c r="E28" s="65"/>
      <c r="F28" s="65"/>
      <c r="G28" s="65"/>
      <c r="H28" s="65"/>
      <c r="I28" s="65"/>
      <c r="J28" s="65"/>
    </row>
    <row r="29" spans="2:10" ht="27">
      <c r="B29" s="238" t="s">
        <v>82</v>
      </c>
      <c r="C29" s="238"/>
      <c r="D29" s="238"/>
      <c r="E29" s="238"/>
      <c r="F29" s="238"/>
      <c r="G29" s="238"/>
      <c r="H29" s="238"/>
      <c r="I29" s="238"/>
      <c r="J29" s="67"/>
    </row>
    <row r="30" spans="2:10" ht="27">
      <c r="B30" s="238" t="s">
        <v>74</v>
      </c>
      <c r="C30" s="238"/>
      <c r="D30" s="238"/>
      <c r="E30" s="238"/>
      <c r="F30" s="238"/>
      <c r="G30" s="238"/>
      <c r="H30" s="238"/>
      <c r="I30" s="238"/>
      <c r="J30" s="67"/>
    </row>
    <row r="31" spans="2:10" ht="27">
      <c r="B31" s="238" t="s">
        <v>13</v>
      </c>
      <c r="C31" s="238"/>
      <c r="D31" s="238"/>
      <c r="E31" s="238"/>
      <c r="F31" s="238"/>
      <c r="G31" s="238"/>
      <c r="H31" s="238"/>
      <c r="I31" s="238"/>
      <c r="J31" s="67"/>
    </row>
    <row r="32" spans="2:10" ht="27">
      <c r="B32" s="66"/>
      <c r="C32" s="66"/>
      <c r="D32" s="66"/>
      <c r="E32" s="66"/>
      <c r="F32" s="66"/>
      <c r="G32" s="66"/>
      <c r="H32" s="66"/>
      <c r="I32" s="66"/>
      <c r="J32" s="67"/>
    </row>
    <row r="33" spans="2:10" ht="27">
      <c r="B33" s="66"/>
      <c r="C33" s="66"/>
      <c r="D33" s="66"/>
      <c r="E33" s="66"/>
      <c r="F33" s="66"/>
      <c r="G33" s="66"/>
      <c r="H33" s="66"/>
      <c r="I33" s="66"/>
      <c r="J33" s="67"/>
    </row>
    <row r="34" spans="2:10" ht="27">
      <c r="B34" s="66"/>
      <c r="C34" s="66"/>
      <c r="D34" s="66"/>
      <c r="E34" s="66"/>
      <c r="F34" s="66"/>
      <c r="G34" s="66"/>
      <c r="H34" s="66"/>
      <c r="I34" s="66"/>
      <c r="J34" s="67"/>
    </row>
    <row r="35" spans="2:10" ht="27">
      <c r="B35" s="66"/>
      <c r="C35" s="66"/>
      <c r="D35" s="66"/>
      <c r="E35" s="66"/>
      <c r="F35" s="66"/>
      <c r="G35" s="66"/>
      <c r="H35" s="66"/>
      <c r="I35" s="66"/>
      <c r="J35" s="67"/>
    </row>
    <row r="36" spans="2:10" ht="21"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21">
      <c r="A37" s="68"/>
      <c r="B37" s="68"/>
      <c r="C37" s="68"/>
      <c r="D37" s="68"/>
      <c r="E37" s="68"/>
      <c r="F37" s="68"/>
      <c r="G37" s="68"/>
      <c r="H37" s="68"/>
      <c r="I37" s="68"/>
      <c r="J37" s="68"/>
    </row>
  </sheetData>
  <sheetProtection/>
  <mergeCells count="7">
    <mergeCell ref="B31:I31"/>
    <mergeCell ref="B8:I8"/>
    <mergeCell ref="B10:I10"/>
    <mergeCell ref="B11:I11"/>
    <mergeCell ref="B27:I27"/>
    <mergeCell ref="B29:I29"/>
    <mergeCell ref="B30:I3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SarabunPSK,ธรรมดา"ฝ่ายโยธาและสถาปัตยกรรม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5"/>
  <sheetViews>
    <sheetView tabSelected="1" zoomScalePageLayoutView="0" workbookViewId="0" topLeftCell="A1">
      <selection activeCell="L8" sqref="L8"/>
    </sheetView>
  </sheetViews>
  <sheetFormatPr defaultColWidth="9.140625" defaultRowHeight="21.75"/>
  <cols>
    <col min="1" max="1" width="7.421875" style="37" customWidth="1"/>
    <col min="2" max="2" width="11.28125" style="37" customWidth="1"/>
    <col min="3" max="3" width="2.8515625" style="37" customWidth="1"/>
    <col min="4" max="4" width="8.8515625" style="37" customWidth="1"/>
    <col min="5" max="5" width="19.57421875" style="37" customWidth="1"/>
    <col min="6" max="8" width="8.7109375" style="37" customWidth="1"/>
    <col min="9" max="9" width="20.8515625" style="37" customWidth="1"/>
    <col min="10" max="10" width="9.140625" style="37" customWidth="1"/>
    <col min="11" max="11" width="15.140625" style="38" bestFit="1" customWidth="1"/>
    <col min="12" max="13" width="9.140625" style="37" customWidth="1"/>
    <col min="14" max="14" width="11.140625" style="37" bestFit="1" customWidth="1"/>
    <col min="15" max="16384" width="9.140625" style="37" customWidth="1"/>
  </cols>
  <sheetData>
    <row r="1" spans="1:9" ht="27.75">
      <c r="A1" s="265" t="s">
        <v>20</v>
      </c>
      <c r="B1" s="265"/>
      <c r="C1" s="265"/>
      <c r="D1" s="265"/>
      <c r="E1" s="265"/>
      <c r="F1" s="265"/>
      <c r="G1" s="265"/>
      <c r="H1" s="265"/>
      <c r="I1" s="265"/>
    </row>
    <row r="2" spans="1:9" ht="24">
      <c r="A2" s="266" t="s">
        <v>83</v>
      </c>
      <c r="B2" s="266"/>
      <c r="C2" s="266"/>
      <c r="D2" s="266"/>
      <c r="E2" s="266"/>
      <c r="F2" s="266"/>
      <c r="G2" s="266"/>
      <c r="H2" s="266"/>
      <c r="I2" s="266"/>
    </row>
    <row r="3" spans="1:9" ht="24">
      <c r="A3" s="266" t="s">
        <v>101</v>
      </c>
      <c r="B3" s="266"/>
      <c r="C3" s="266"/>
      <c r="D3" s="266"/>
      <c r="E3" s="266"/>
      <c r="F3" s="266"/>
      <c r="G3" s="266"/>
      <c r="H3" s="266"/>
      <c r="I3" s="266"/>
    </row>
    <row r="4" spans="1:9" ht="21">
      <c r="A4" s="39" t="s">
        <v>0</v>
      </c>
      <c r="B4" s="267" t="s">
        <v>1</v>
      </c>
      <c r="C4" s="268"/>
      <c r="D4" s="268"/>
      <c r="E4" s="269"/>
      <c r="F4" s="270" t="s">
        <v>11</v>
      </c>
      <c r="G4" s="270"/>
      <c r="H4" s="270"/>
      <c r="I4" s="39" t="s">
        <v>9</v>
      </c>
    </row>
    <row r="5" spans="1:9" ht="21">
      <c r="A5" s="40">
        <v>1</v>
      </c>
      <c r="B5" s="276" t="s">
        <v>25</v>
      </c>
      <c r="C5" s="277"/>
      <c r="D5" s="277"/>
      <c r="E5" s="278"/>
      <c r="F5" s="279"/>
      <c r="G5" s="280"/>
      <c r="H5" s="281"/>
      <c r="I5" s="41"/>
    </row>
    <row r="6" spans="1:11" ht="21">
      <c r="A6" s="42"/>
      <c r="B6" s="262" t="s">
        <v>26</v>
      </c>
      <c r="C6" s="263"/>
      <c r="D6" s="263"/>
      <c r="E6" s="264"/>
      <c r="F6" s="259">
        <f>สรุปวัสดุ!E13</f>
        <v>1353776.425</v>
      </c>
      <c r="G6" s="260"/>
      <c r="H6" s="261"/>
      <c r="I6" s="43"/>
      <c r="K6" s="38" t="s">
        <v>73</v>
      </c>
    </row>
    <row r="7" spans="1:9" ht="21">
      <c r="A7" s="42"/>
      <c r="B7" s="262" t="s">
        <v>27</v>
      </c>
      <c r="C7" s="263"/>
      <c r="D7" s="263"/>
      <c r="E7" s="264"/>
      <c r="F7" s="259">
        <f>สรุปวัสดุ!F13</f>
        <v>441828.5</v>
      </c>
      <c r="G7" s="260"/>
      <c r="H7" s="261"/>
      <c r="I7" s="43"/>
    </row>
    <row r="8" spans="1:9" ht="21" thickBot="1">
      <c r="A8" s="44"/>
      <c r="B8" s="245" t="s">
        <v>68</v>
      </c>
      <c r="C8" s="246"/>
      <c r="D8" s="246"/>
      <c r="E8" s="258"/>
      <c r="F8" s="282">
        <f>สรุปวัสดุ!G13</f>
        <v>1795604.925</v>
      </c>
      <c r="G8" s="283"/>
      <c r="H8" s="284"/>
      <c r="I8" s="45"/>
    </row>
    <row r="9" spans="1:14" ht="21.75" thickBot="1" thickTop="1">
      <c r="A9" s="46">
        <f>A5+1</f>
        <v>2</v>
      </c>
      <c r="B9" s="47" t="s">
        <v>70</v>
      </c>
      <c r="C9" s="48" t="s">
        <v>15</v>
      </c>
      <c r="D9" s="49">
        <f>'FACTOR F อาคาร '!H22</f>
        <v>1.3038</v>
      </c>
      <c r="E9" s="50"/>
      <c r="F9" s="255">
        <f>F8*D9</f>
        <v>2341109.7012150004</v>
      </c>
      <c r="G9" s="271"/>
      <c r="H9" s="272"/>
      <c r="I9" s="182" t="s">
        <v>71</v>
      </c>
      <c r="N9" s="38">
        <f>F17-F16</f>
        <v>-8109.7012150003575</v>
      </c>
    </row>
    <row r="10" spans="1:9" ht="21" thickTop="1">
      <c r="A10" s="52">
        <f>A9+1</f>
        <v>3</v>
      </c>
      <c r="B10" s="273" t="s">
        <v>28</v>
      </c>
      <c r="C10" s="274"/>
      <c r="D10" s="274"/>
      <c r="E10" s="275"/>
      <c r="F10" s="259"/>
      <c r="G10" s="260"/>
      <c r="H10" s="261"/>
      <c r="I10" s="53"/>
    </row>
    <row r="11" spans="1:14" ht="21">
      <c r="A11" s="42"/>
      <c r="B11" s="262" t="s">
        <v>190</v>
      </c>
      <c r="C11" s="263"/>
      <c r="D11" s="263"/>
      <c r="E11" s="264"/>
      <c r="F11" s="259"/>
      <c r="G11" s="260"/>
      <c r="H11" s="261"/>
      <c r="I11" s="54"/>
      <c r="N11" s="174">
        <f>N9/D9</f>
        <v>-6220.050019174994</v>
      </c>
    </row>
    <row r="12" spans="1:9" ht="21">
      <c r="A12" s="42"/>
      <c r="B12" s="262" t="s">
        <v>177</v>
      </c>
      <c r="C12" s="263"/>
      <c r="D12" s="263"/>
      <c r="E12" s="264"/>
      <c r="F12" s="259"/>
      <c r="G12" s="260"/>
      <c r="H12" s="261"/>
      <c r="I12" s="54"/>
    </row>
    <row r="13" spans="1:9" ht="21">
      <c r="A13" s="42"/>
      <c r="B13" s="262" t="s">
        <v>167</v>
      </c>
      <c r="C13" s="263"/>
      <c r="D13" s="263"/>
      <c r="E13" s="264"/>
      <c r="F13" s="259"/>
      <c r="G13" s="260"/>
      <c r="H13" s="261"/>
      <c r="I13" s="54"/>
    </row>
    <row r="14" spans="1:9" ht="21">
      <c r="A14" s="42"/>
      <c r="B14" s="262" t="s">
        <v>168</v>
      </c>
      <c r="C14" s="263"/>
      <c r="D14" s="263"/>
      <c r="E14" s="264"/>
      <c r="F14" s="259"/>
      <c r="G14" s="260"/>
      <c r="H14" s="261"/>
      <c r="I14" s="54"/>
    </row>
    <row r="15" spans="1:14" ht="21" thickBot="1">
      <c r="A15" s="44"/>
      <c r="B15" s="245" t="s">
        <v>69</v>
      </c>
      <c r="C15" s="246"/>
      <c r="D15" s="246"/>
      <c r="E15" s="246"/>
      <c r="F15" s="242">
        <v>92000</v>
      </c>
      <c r="G15" s="243"/>
      <c r="H15" s="244"/>
      <c r="I15" s="51"/>
      <c r="N15" s="173">
        <f>(F16-F17)/F16</f>
        <v>0.003333060244242456</v>
      </c>
    </row>
    <row r="16" spans="1:18" ht="21.75" thickBot="1" thickTop="1">
      <c r="A16" s="44">
        <f>A10+1</f>
        <v>4</v>
      </c>
      <c r="B16" s="245" t="s">
        <v>16</v>
      </c>
      <c r="C16" s="246"/>
      <c r="D16" s="246"/>
      <c r="E16" s="258"/>
      <c r="F16" s="242">
        <f>SUM(F9+F15)</f>
        <v>2433109.7012150004</v>
      </c>
      <c r="G16" s="243"/>
      <c r="H16" s="244"/>
      <c r="I16" s="182" t="s">
        <v>72</v>
      </c>
      <c r="R16" s="37">
        <f>53600*2</f>
        <v>107200</v>
      </c>
    </row>
    <row r="17" spans="1:14" ht="21.75" thickBot="1" thickTop="1">
      <c r="A17" s="55">
        <f>SUM(A16+1)</f>
        <v>5</v>
      </c>
      <c r="B17" s="252" t="s">
        <v>75</v>
      </c>
      <c r="C17" s="253"/>
      <c r="D17" s="253"/>
      <c r="E17" s="254"/>
      <c r="F17" s="255">
        <v>2425000</v>
      </c>
      <c r="G17" s="256"/>
      <c r="H17" s="257"/>
      <c r="I17" s="56"/>
      <c r="N17" s="38">
        <f>F17-F16</f>
        <v>-8109.7012150003575</v>
      </c>
    </row>
    <row r="18" spans="1:15" ht="26.25" customHeight="1" thickTop="1">
      <c r="A18" s="249" t="str">
        <f>"("&amp;_xlfn.BAHTTEXT(F17)&amp;")"</f>
        <v>(สองล้านสี่แสนสองหมื่นห้าพันบาทถ้วน)</v>
      </c>
      <c r="B18" s="250"/>
      <c r="C18" s="250"/>
      <c r="D18" s="250"/>
      <c r="E18" s="250"/>
      <c r="F18" s="250"/>
      <c r="G18" s="250"/>
      <c r="H18" s="250"/>
      <c r="I18" s="251"/>
      <c r="O18" s="38">
        <f>F17-F16</f>
        <v>-8109.7012150003575</v>
      </c>
    </row>
    <row r="19" spans="2:14" ht="21">
      <c r="B19" s="57"/>
      <c r="C19" s="57"/>
      <c r="D19" s="57"/>
      <c r="E19" s="57"/>
      <c r="F19" s="57"/>
      <c r="G19" s="57"/>
      <c r="H19" s="57"/>
      <c r="I19" s="73"/>
      <c r="N19" s="38">
        <f>F17-F16</f>
        <v>-8109.7012150003575</v>
      </c>
    </row>
    <row r="20" spans="6:9" ht="21">
      <c r="F20" s="58"/>
      <c r="G20" s="248"/>
      <c r="H20" s="248"/>
      <c r="I20" s="248"/>
    </row>
    <row r="21" spans="7:9" ht="21">
      <c r="G21" s="248"/>
      <c r="H21" s="248"/>
      <c r="I21" s="248"/>
    </row>
    <row r="22" spans="7:9" ht="21">
      <c r="G22" s="247"/>
      <c r="H22" s="247"/>
      <c r="I22" s="247"/>
    </row>
    <row r="23" spans="2:4" ht="21">
      <c r="B23" s="59"/>
      <c r="C23" s="38"/>
      <c r="D23" s="38"/>
    </row>
    <row r="24" spans="2:6" ht="21">
      <c r="B24" s="59"/>
      <c r="F24" s="38"/>
    </row>
    <row r="25" spans="2:6" ht="21">
      <c r="B25" s="38"/>
      <c r="F25" s="38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B5:E5"/>
    <mergeCell ref="B7:E7"/>
    <mergeCell ref="B8:E8"/>
    <mergeCell ref="F5:H5"/>
    <mergeCell ref="F6:H6"/>
    <mergeCell ref="B6:E6"/>
    <mergeCell ref="F7:H7"/>
    <mergeCell ref="F8:H8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F11:H11"/>
    <mergeCell ref="F10:H10"/>
    <mergeCell ref="B13:E13"/>
    <mergeCell ref="F15:H15"/>
    <mergeCell ref="B14:E14"/>
    <mergeCell ref="F13:H13"/>
    <mergeCell ref="F14:H14"/>
    <mergeCell ref="F16:H16"/>
    <mergeCell ref="B15:E15"/>
    <mergeCell ref="G22:I22"/>
    <mergeCell ref="G21:I21"/>
    <mergeCell ref="G20:I20"/>
    <mergeCell ref="A18:I18"/>
    <mergeCell ref="B17:E17"/>
    <mergeCell ref="F17:H17"/>
    <mergeCell ref="B16:E16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SarabunPSK,ธรรมดา"ปร.6&amp;"DilleniaUPC,ธรรมดา"  &amp;"TH SarabunPSK,ธรรมดา"&amp;P/&amp;N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23" sqref="B23"/>
    </sheetView>
  </sheetViews>
  <sheetFormatPr defaultColWidth="9.140625" defaultRowHeight="21.75"/>
  <cols>
    <col min="1" max="1" width="7.421875" style="17" customWidth="1"/>
    <col min="2" max="2" width="20.421875" style="17" customWidth="1"/>
    <col min="3" max="3" width="2.421875" style="17" customWidth="1"/>
    <col min="4" max="4" width="7.57421875" style="17" customWidth="1"/>
    <col min="5" max="8" width="15.7109375" style="17" customWidth="1"/>
    <col min="9" max="9" width="9.140625" style="17" customWidth="1"/>
    <col min="10" max="10" width="13.140625" style="17" bestFit="1" customWidth="1"/>
    <col min="11" max="16384" width="9.140625" style="17" customWidth="1"/>
  </cols>
  <sheetData>
    <row r="1" spans="1:8" ht="27.75">
      <c r="A1" s="298" t="s">
        <v>18</v>
      </c>
      <c r="B1" s="298"/>
      <c r="C1" s="298"/>
      <c r="D1" s="298"/>
      <c r="E1" s="298"/>
      <c r="F1" s="298"/>
      <c r="G1" s="298"/>
      <c r="H1" s="298"/>
    </row>
    <row r="2" spans="1:8" ht="24">
      <c r="A2" s="299" t="str">
        <f>(สรุป!A2)</f>
        <v>ปรับปรุงอาคารเรียนอาคารพลังงาน</v>
      </c>
      <c r="B2" s="299"/>
      <c r="C2" s="299"/>
      <c r="D2" s="299"/>
      <c r="E2" s="299"/>
      <c r="F2" s="299"/>
      <c r="G2" s="299"/>
      <c r="H2" s="299"/>
    </row>
    <row r="3" spans="1:8" ht="24">
      <c r="A3" s="299" t="str">
        <f>(สรุป!A3)</f>
        <v>มหาวิทยาลัยราชภัฏอุตรดิตถ์ ทุ่งกะโล่</v>
      </c>
      <c r="B3" s="299"/>
      <c r="C3" s="299"/>
      <c r="D3" s="299"/>
      <c r="E3" s="299"/>
      <c r="F3" s="299"/>
      <c r="G3" s="299"/>
      <c r="H3" s="299"/>
    </row>
    <row r="4" spans="1:8" ht="21">
      <c r="A4" s="18" t="s">
        <v>0</v>
      </c>
      <c r="B4" s="300" t="s">
        <v>1</v>
      </c>
      <c r="C4" s="301"/>
      <c r="D4" s="302"/>
      <c r="E4" s="19" t="s">
        <v>4</v>
      </c>
      <c r="F4" s="18" t="s">
        <v>14</v>
      </c>
      <c r="G4" s="18" t="s">
        <v>22</v>
      </c>
      <c r="H4" s="18" t="s">
        <v>23</v>
      </c>
    </row>
    <row r="5" spans="1:8" ht="21">
      <c r="A5" s="20"/>
      <c r="B5" s="295"/>
      <c r="C5" s="296"/>
      <c r="D5" s="297"/>
      <c r="E5" s="21" t="s">
        <v>11</v>
      </c>
      <c r="F5" s="21" t="s">
        <v>11</v>
      </c>
      <c r="G5" s="21" t="s">
        <v>11</v>
      </c>
      <c r="H5" s="22"/>
    </row>
    <row r="6" spans="1:10" ht="21">
      <c r="A6" s="23">
        <v>1</v>
      </c>
      <c r="B6" s="24" t="str">
        <f>รายละเอียด!B6</f>
        <v>งานหลังคา </v>
      </c>
      <c r="C6" s="25"/>
      <c r="D6" s="26"/>
      <c r="E6" s="27">
        <f>รายละเอียด!F21</f>
        <v>863970</v>
      </c>
      <c r="F6" s="27">
        <f>รายละเอียด!H21</f>
        <v>313460</v>
      </c>
      <c r="G6" s="28">
        <f>รายละเอียด!I21</f>
        <v>1177430</v>
      </c>
      <c r="H6" s="29">
        <f>G6/G13</f>
        <v>0.655728876439788</v>
      </c>
      <c r="I6" s="30"/>
      <c r="J6" s="30"/>
    </row>
    <row r="7" spans="1:10" ht="21">
      <c r="A7" s="23">
        <v>2</v>
      </c>
      <c r="B7" s="71" t="str">
        <f>รายละเอียด!B22</f>
        <v>งานซ่อมกระจกและประตูอาคาร</v>
      </c>
      <c r="C7" s="25"/>
      <c r="D7" s="26"/>
      <c r="E7" s="27">
        <f>รายละเอียด!F30</f>
        <v>215800</v>
      </c>
      <c r="F7" s="27">
        <f>รายละเอียด!H30</f>
        <v>20000</v>
      </c>
      <c r="G7" s="28">
        <f>รายละเอียด!I30</f>
        <v>235800</v>
      </c>
      <c r="H7" s="29">
        <f>G7/G13</f>
        <v>0.13132064671742866</v>
      </c>
      <c r="I7" s="30"/>
      <c r="J7" s="30"/>
    </row>
    <row r="8" spans="1:10" ht="21">
      <c r="A8" s="23">
        <v>3</v>
      </c>
      <c r="B8" s="71" t="str">
        <f>รายละเอียด!B36</f>
        <v>ซ่อมฝ้า</v>
      </c>
      <c r="C8" s="25"/>
      <c r="D8" s="26"/>
      <c r="E8" s="27">
        <f>รายละเอียด!F43</f>
        <v>41365</v>
      </c>
      <c r="F8" s="27">
        <f>รายละเอียด!H43</f>
        <v>29416.5</v>
      </c>
      <c r="G8" s="28">
        <f>รายละเอียด!I43</f>
        <v>70781.5</v>
      </c>
      <c r="H8" s="29">
        <f>G8/G13</f>
        <v>0.03941930600351856</v>
      </c>
      <c r="I8" s="30"/>
      <c r="J8" s="30"/>
    </row>
    <row r="9" spans="1:10" ht="21">
      <c r="A9" s="23">
        <v>4</v>
      </c>
      <c r="B9" s="71" t="str">
        <f>รายละเอียด!B44</f>
        <v>งานรางระบายน้ำ</v>
      </c>
      <c r="C9" s="25"/>
      <c r="D9" s="26"/>
      <c r="E9" s="27">
        <f>รายละเอียด!F53</f>
        <v>87768.125</v>
      </c>
      <c r="F9" s="27">
        <f>รายละเอียด!H53</f>
        <v>19015</v>
      </c>
      <c r="G9" s="28">
        <f>รายละเอียด!I53</f>
        <v>106783.125</v>
      </c>
      <c r="H9" s="29">
        <f>G9/G13</f>
        <v>0.0594691646883292</v>
      </c>
      <c r="I9" s="30"/>
      <c r="J9" s="30"/>
    </row>
    <row r="10" spans="1:10" ht="21">
      <c r="A10" s="23">
        <v>5</v>
      </c>
      <c r="B10" s="71" t="str">
        <f>รายละเอียด!B54</f>
        <v>ซ่อมท่อระบายน้ำฝนทางเดินเชื่อม</v>
      </c>
      <c r="C10" s="25"/>
      <c r="D10" s="26"/>
      <c r="E10" s="27"/>
      <c r="F10" s="27">
        <f>รายละเอียด!I55</f>
        <v>5500</v>
      </c>
      <c r="G10" s="28">
        <f>รายละเอียด!I56</f>
        <v>5500</v>
      </c>
      <c r="H10" s="29">
        <f>G10/G13</f>
        <v>0.003063034592645707</v>
      </c>
      <c r="I10" s="30"/>
      <c r="J10" s="30"/>
    </row>
    <row r="11" spans="1:10" ht="21">
      <c r="A11" s="23">
        <v>6</v>
      </c>
      <c r="B11" s="71" t="str">
        <f>รายละเอียด!B62</f>
        <v>ซ่อมบำรุงเครื่องปรับอากาศ</v>
      </c>
      <c r="C11" s="25"/>
      <c r="D11" s="26"/>
      <c r="E11" s="27"/>
      <c r="F11" s="27">
        <f>รายละเอียด!H66</f>
        <v>8500</v>
      </c>
      <c r="G11" s="28">
        <f>รายละเอียด!I66</f>
        <v>8500</v>
      </c>
      <c r="H11" s="29">
        <f>G11/E14</f>
        <v>0.004733780734088819</v>
      </c>
      <c r="I11" s="30"/>
      <c r="J11" s="30"/>
    </row>
    <row r="12" spans="1:10" ht="21">
      <c r="A12" s="23">
        <v>7</v>
      </c>
      <c r="B12" s="71" t="str">
        <f>รายละเอียด!B67</f>
        <v>สร้างที่จอดรถยนต์จำนวน 2 จุด</v>
      </c>
      <c r="C12" s="25"/>
      <c r="D12" s="26"/>
      <c r="E12" s="27">
        <f>รายละเอียด!F86</f>
        <v>144873.3</v>
      </c>
      <c r="F12" s="27">
        <f>รายละเอียด!H86</f>
        <v>45937</v>
      </c>
      <c r="G12" s="28">
        <f>รายละเอียด!I86</f>
        <v>190810.3</v>
      </c>
      <c r="H12" s="29">
        <f>G12/E14</f>
        <v>0.10626519082420093</v>
      </c>
      <c r="I12" s="30"/>
      <c r="J12" s="30"/>
    </row>
    <row r="13" spans="1:8" ht="21">
      <c r="A13" s="23"/>
      <c r="B13" s="289" t="s">
        <v>21</v>
      </c>
      <c r="C13" s="290"/>
      <c r="D13" s="291"/>
      <c r="E13" s="27">
        <f>SUM(E6:E12)</f>
        <v>1353776.425</v>
      </c>
      <c r="F13" s="27">
        <f>SUM(F6:F12)</f>
        <v>441828.5</v>
      </c>
      <c r="G13" s="27">
        <f>SUM(G6:G12)</f>
        <v>1795604.925</v>
      </c>
      <c r="H13" s="29">
        <f>SUM(H6:H12)</f>
        <v>1</v>
      </c>
    </row>
    <row r="14" spans="1:10" ht="24">
      <c r="A14" s="31"/>
      <c r="B14" s="292" t="s">
        <v>12</v>
      </c>
      <c r="C14" s="293"/>
      <c r="D14" s="294"/>
      <c r="E14" s="285">
        <f>G13</f>
        <v>1795604.925</v>
      </c>
      <c r="F14" s="286"/>
      <c r="G14" s="287" t="s">
        <v>10</v>
      </c>
      <c r="H14" s="288"/>
      <c r="J14" s="30"/>
    </row>
    <row r="15" spans="1:8" ht="24">
      <c r="A15" s="32"/>
      <c r="B15" s="33"/>
      <c r="C15" s="33"/>
      <c r="D15" s="33"/>
      <c r="E15" s="34"/>
      <c r="F15" s="34"/>
      <c r="G15" s="34"/>
      <c r="H15" s="35"/>
    </row>
    <row r="16" spans="1:8" ht="24">
      <c r="A16" s="32"/>
      <c r="B16" s="33"/>
      <c r="C16" s="33"/>
      <c r="D16" s="33"/>
      <c r="E16" s="34"/>
      <c r="F16" s="36"/>
      <c r="G16" s="34"/>
      <c r="H16" s="35"/>
    </row>
    <row r="17" spans="1:8" ht="24">
      <c r="A17" s="32"/>
      <c r="B17" s="33"/>
      <c r="C17" s="33"/>
      <c r="D17" s="33"/>
      <c r="E17" s="34"/>
      <c r="F17" s="36"/>
      <c r="G17" s="34"/>
      <c r="H17" s="35"/>
    </row>
    <row r="18" spans="2:3" ht="21">
      <c r="B18" s="30"/>
      <c r="C18" s="30"/>
    </row>
    <row r="19" ht="21">
      <c r="E19" s="30"/>
    </row>
    <row r="20" ht="21">
      <c r="E20" s="30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14:F14"/>
    <mergeCell ref="G14:H14"/>
    <mergeCell ref="B13:D13"/>
    <mergeCell ref="B14:D14"/>
    <mergeCell ref="B5:D5"/>
    <mergeCell ref="A1:H1"/>
    <mergeCell ref="A2:H2"/>
    <mergeCell ref="A3:H3"/>
    <mergeCell ref="B4:D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SarabunPSK,ธรรมดา"สรุปบัญชีแสดงปริมาณวัสดุ แรงงาน และประมาณราคาค่าก่อสร้าง&amp;R&amp;"TH SarabunPSK,ธรรมดา"ปร.5  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86"/>
  <sheetViews>
    <sheetView zoomScale="85" zoomScaleNormal="85" zoomScalePageLayoutView="0" workbookViewId="0" topLeftCell="A1">
      <selection activeCell="E72" sqref="E72"/>
    </sheetView>
  </sheetViews>
  <sheetFormatPr defaultColWidth="9.140625" defaultRowHeight="21.75"/>
  <cols>
    <col min="1" max="1" width="6.57421875" style="15" customWidth="1"/>
    <col min="2" max="2" width="25.00390625" style="1" customWidth="1"/>
    <col min="3" max="3" width="9.7109375" style="16" customWidth="1"/>
    <col min="4" max="4" width="7.28125" style="15" customWidth="1"/>
    <col min="5" max="5" width="11.140625" style="16" customWidth="1"/>
    <col min="6" max="6" width="13.421875" style="16" customWidth="1"/>
    <col min="7" max="7" width="9.7109375" style="16" customWidth="1"/>
    <col min="8" max="8" width="12.00390625" style="16" customWidth="1"/>
    <col min="9" max="9" width="13.28125" style="16" customWidth="1"/>
    <col min="10" max="10" width="9.140625" style="1" customWidth="1"/>
    <col min="11" max="11" width="20.421875" style="1" customWidth="1"/>
    <col min="12" max="13" width="9.140625" style="1" customWidth="1"/>
    <col min="14" max="14" width="11.421875" style="1" bestFit="1" customWidth="1"/>
    <col min="15" max="16384" width="9.140625" style="1" customWidth="1"/>
  </cols>
  <sheetData>
    <row r="1" spans="1:9" ht="27.75">
      <c r="A1" s="305" t="s">
        <v>19</v>
      </c>
      <c r="B1" s="305"/>
      <c r="C1" s="305"/>
      <c r="D1" s="305"/>
      <c r="E1" s="305"/>
      <c r="F1" s="305"/>
      <c r="G1" s="305"/>
      <c r="H1" s="305"/>
      <c r="I1" s="305"/>
    </row>
    <row r="2" spans="1:9" ht="24">
      <c r="A2" s="306" t="str">
        <f>(สรุป!A2)</f>
        <v>ปรับปรุงอาคารเรียนอาคารพลังงาน</v>
      </c>
      <c r="B2" s="306"/>
      <c r="C2" s="306"/>
      <c r="D2" s="306"/>
      <c r="E2" s="306"/>
      <c r="F2" s="306"/>
      <c r="G2" s="306"/>
      <c r="H2" s="306"/>
      <c r="I2" s="306"/>
    </row>
    <row r="3" spans="1:9" ht="24">
      <c r="A3" s="306" t="str">
        <f>(สรุป!A3)</f>
        <v>มหาวิทยาลัยราชภัฏอุตรดิตถ์ ทุ่งกะโล่</v>
      </c>
      <c r="B3" s="306"/>
      <c r="C3" s="306"/>
      <c r="D3" s="306"/>
      <c r="E3" s="306"/>
      <c r="F3" s="306"/>
      <c r="G3" s="306"/>
      <c r="H3" s="306"/>
      <c r="I3" s="306"/>
    </row>
    <row r="4" spans="1:9" ht="21">
      <c r="A4" s="74" t="s">
        <v>0</v>
      </c>
      <c r="B4" s="74" t="s">
        <v>1</v>
      </c>
      <c r="C4" s="75" t="s">
        <v>2</v>
      </c>
      <c r="D4" s="74" t="s">
        <v>3</v>
      </c>
      <c r="E4" s="303" t="s">
        <v>4</v>
      </c>
      <c r="F4" s="304"/>
      <c r="G4" s="303" t="s">
        <v>5</v>
      </c>
      <c r="H4" s="304"/>
      <c r="I4" s="76" t="s">
        <v>6</v>
      </c>
    </row>
    <row r="5" spans="1:9" ht="21">
      <c r="A5" s="77"/>
      <c r="B5" s="77"/>
      <c r="C5" s="78"/>
      <c r="D5" s="77"/>
      <c r="E5" s="79" t="s">
        <v>7</v>
      </c>
      <c r="F5" s="79" t="s">
        <v>8</v>
      </c>
      <c r="G5" s="79" t="s">
        <v>7</v>
      </c>
      <c r="H5" s="79" t="s">
        <v>8</v>
      </c>
      <c r="I5" s="80"/>
    </row>
    <row r="6" spans="1:9" s="7" customFormat="1" ht="21">
      <c r="A6" s="2">
        <v>1</v>
      </c>
      <c r="B6" s="3" t="s">
        <v>81</v>
      </c>
      <c r="C6" s="4"/>
      <c r="D6" s="2"/>
      <c r="E6" s="5"/>
      <c r="F6" s="6"/>
      <c r="G6" s="6"/>
      <c r="H6" s="6"/>
      <c r="I6" s="6"/>
    </row>
    <row r="7" spans="1:9" s="7" customFormat="1" ht="21">
      <c r="A7" s="2">
        <v>1.1</v>
      </c>
      <c r="B7" s="3" t="s">
        <v>87</v>
      </c>
      <c r="C7" s="4"/>
      <c r="D7" s="2"/>
      <c r="E7" s="5"/>
      <c r="F7" s="6"/>
      <c r="G7" s="6"/>
      <c r="H7" s="6"/>
      <c r="I7" s="6"/>
    </row>
    <row r="8" spans="1:9" s="8" customFormat="1" ht="21">
      <c r="A8" s="9">
        <v>1.11</v>
      </c>
      <c r="B8" s="14" t="s">
        <v>84</v>
      </c>
      <c r="C8" s="70">
        <v>100</v>
      </c>
      <c r="D8" s="11" t="s">
        <v>76</v>
      </c>
      <c r="E8" s="6"/>
      <c r="F8" s="6">
        <f aca="true" t="shared" si="0" ref="F8:F17">SUM(E8*C8)</f>
        <v>0</v>
      </c>
      <c r="G8" s="6">
        <v>25</v>
      </c>
      <c r="H8" s="6">
        <f aca="true" t="shared" si="1" ref="H8:H17">SUM(G8*C8)</f>
        <v>2500</v>
      </c>
      <c r="I8" s="6">
        <f aca="true" t="shared" si="2" ref="I8:I17">SUM(H8+F8)</f>
        <v>2500</v>
      </c>
    </row>
    <row r="9" spans="1:17" s="8" customFormat="1" ht="21">
      <c r="A9" s="9">
        <v>1.12</v>
      </c>
      <c r="B9" s="14" t="s">
        <v>166</v>
      </c>
      <c r="C9" s="70">
        <v>15</v>
      </c>
      <c r="D9" s="11" t="s">
        <v>79</v>
      </c>
      <c r="E9" s="6">
        <v>2270</v>
      </c>
      <c r="F9" s="6">
        <f t="shared" si="0"/>
        <v>34050</v>
      </c>
      <c r="G9" s="6">
        <v>804</v>
      </c>
      <c r="H9" s="6">
        <f t="shared" si="1"/>
        <v>12060</v>
      </c>
      <c r="I9" s="6">
        <f t="shared" si="2"/>
        <v>46110</v>
      </c>
      <c r="M9" s="8">
        <f>75/25</f>
        <v>3</v>
      </c>
      <c r="Q9" s="8">
        <f>1500/3</f>
        <v>500</v>
      </c>
    </row>
    <row r="10" spans="1:9" s="8" customFormat="1" ht="21">
      <c r="A10" s="9">
        <v>1.13</v>
      </c>
      <c r="B10" s="14" t="s">
        <v>171</v>
      </c>
      <c r="C10" s="70">
        <v>60</v>
      </c>
      <c r="D10" s="11" t="s">
        <v>76</v>
      </c>
      <c r="E10" s="6">
        <v>50</v>
      </c>
      <c r="F10" s="6">
        <f t="shared" si="0"/>
        <v>3000</v>
      </c>
      <c r="G10" s="6">
        <v>30</v>
      </c>
      <c r="H10" s="6">
        <f t="shared" si="1"/>
        <v>1800</v>
      </c>
      <c r="I10" s="6">
        <f t="shared" si="2"/>
        <v>4800</v>
      </c>
    </row>
    <row r="11" spans="1:9" s="8" customFormat="1" ht="42">
      <c r="A11" s="9">
        <v>1.14</v>
      </c>
      <c r="B11" s="14" t="s">
        <v>85</v>
      </c>
      <c r="C11" s="69">
        <v>100</v>
      </c>
      <c r="D11" s="11" t="s">
        <v>76</v>
      </c>
      <c r="E11" s="6"/>
      <c r="F11" s="6">
        <f t="shared" si="0"/>
        <v>0</v>
      </c>
      <c r="G11" s="6">
        <v>70</v>
      </c>
      <c r="H11" s="6">
        <f t="shared" si="1"/>
        <v>7000</v>
      </c>
      <c r="I11" s="6">
        <f t="shared" si="2"/>
        <v>7000</v>
      </c>
    </row>
    <row r="12" spans="1:9" s="8" customFormat="1" ht="42">
      <c r="A12" s="9">
        <v>1.15</v>
      </c>
      <c r="B12" s="14" t="s">
        <v>86</v>
      </c>
      <c r="C12" s="69">
        <v>60</v>
      </c>
      <c r="D12" s="11" t="s">
        <v>78</v>
      </c>
      <c r="E12" s="6">
        <v>500</v>
      </c>
      <c r="F12" s="6">
        <f t="shared" si="0"/>
        <v>30000</v>
      </c>
      <c r="G12" s="6">
        <v>50</v>
      </c>
      <c r="H12" s="6">
        <f t="shared" si="1"/>
        <v>3000</v>
      </c>
      <c r="I12" s="6">
        <f t="shared" si="2"/>
        <v>33000</v>
      </c>
    </row>
    <row r="13" spans="1:9" s="8" customFormat="1" ht="21">
      <c r="A13" s="158">
        <v>1.2</v>
      </c>
      <c r="B13" s="159" t="s">
        <v>90</v>
      </c>
      <c r="C13" s="69"/>
      <c r="D13" s="11"/>
      <c r="E13" s="6"/>
      <c r="F13" s="6">
        <f t="shared" si="0"/>
        <v>0</v>
      </c>
      <c r="G13" s="6"/>
      <c r="H13" s="6">
        <f t="shared" si="1"/>
        <v>0</v>
      </c>
      <c r="I13" s="6">
        <f t="shared" si="2"/>
        <v>0</v>
      </c>
    </row>
    <row r="14" spans="1:9" s="8" customFormat="1" ht="21">
      <c r="A14" s="9">
        <v>1.21</v>
      </c>
      <c r="B14" s="14" t="s">
        <v>88</v>
      </c>
      <c r="C14" s="69">
        <v>940</v>
      </c>
      <c r="D14" s="13" t="s">
        <v>76</v>
      </c>
      <c r="E14" s="69"/>
      <c r="F14" s="70">
        <f t="shared" si="0"/>
        <v>0</v>
      </c>
      <c r="G14" s="69">
        <v>10</v>
      </c>
      <c r="H14" s="70">
        <f t="shared" si="1"/>
        <v>9400</v>
      </c>
      <c r="I14" s="70">
        <f t="shared" si="2"/>
        <v>9400</v>
      </c>
    </row>
    <row r="15" spans="1:9" s="8" customFormat="1" ht="21">
      <c r="A15" s="9">
        <v>1.22</v>
      </c>
      <c r="B15" s="14" t="s">
        <v>169</v>
      </c>
      <c r="C15" s="69">
        <v>940</v>
      </c>
      <c r="D15" s="13" t="s">
        <v>76</v>
      </c>
      <c r="E15" s="69">
        <v>108</v>
      </c>
      <c r="F15" s="70">
        <f t="shared" si="0"/>
        <v>101520</v>
      </c>
      <c r="G15" s="69">
        <v>5</v>
      </c>
      <c r="H15" s="70">
        <f t="shared" si="1"/>
        <v>4700</v>
      </c>
      <c r="I15" s="70">
        <f t="shared" si="2"/>
        <v>106220</v>
      </c>
    </row>
    <row r="16" spans="1:11" s="8" customFormat="1" ht="21">
      <c r="A16" s="9">
        <v>1.23</v>
      </c>
      <c r="B16" s="14" t="s">
        <v>117</v>
      </c>
      <c r="C16" s="12">
        <v>940</v>
      </c>
      <c r="D16" s="13" t="s">
        <v>76</v>
      </c>
      <c r="E16" s="12">
        <v>350</v>
      </c>
      <c r="F16" s="6">
        <f t="shared" si="0"/>
        <v>329000</v>
      </c>
      <c r="G16" s="12">
        <v>150</v>
      </c>
      <c r="H16" s="6">
        <f t="shared" si="1"/>
        <v>141000</v>
      </c>
      <c r="I16" s="6">
        <f t="shared" si="2"/>
        <v>470000</v>
      </c>
      <c r="K16" s="8" t="s">
        <v>149</v>
      </c>
    </row>
    <row r="17" spans="1:9" s="8" customFormat="1" ht="21">
      <c r="A17" s="158">
        <v>1.3</v>
      </c>
      <c r="B17" s="159" t="s">
        <v>89</v>
      </c>
      <c r="C17" s="12"/>
      <c r="D17" s="13"/>
      <c r="E17" s="12"/>
      <c r="F17" s="6">
        <f t="shared" si="0"/>
        <v>0</v>
      </c>
      <c r="G17" s="12"/>
      <c r="H17" s="6">
        <f t="shared" si="1"/>
        <v>0</v>
      </c>
      <c r="I17" s="6">
        <f t="shared" si="2"/>
        <v>0</v>
      </c>
    </row>
    <row r="18" spans="1:15" s="8" customFormat="1" ht="21">
      <c r="A18" s="9">
        <v>1.31</v>
      </c>
      <c r="B18" s="14" t="s">
        <v>88</v>
      </c>
      <c r="C18" s="69">
        <v>800</v>
      </c>
      <c r="D18" s="13" t="s">
        <v>76</v>
      </c>
      <c r="E18" s="69"/>
      <c r="F18" s="70">
        <f>SUM(E18*C18)</f>
        <v>0</v>
      </c>
      <c r="G18" s="69">
        <v>10</v>
      </c>
      <c r="H18" s="70">
        <f>SUM(G18*C18)</f>
        <v>8000</v>
      </c>
      <c r="I18" s="70">
        <f>SUM(H18+F18)</f>
        <v>8000</v>
      </c>
      <c r="O18" s="8">
        <f>800*0.05</f>
        <v>40</v>
      </c>
    </row>
    <row r="19" spans="1:9" s="8" customFormat="1" ht="21">
      <c r="A19" s="9">
        <v>1.32</v>
      </c>
      <c r="B19" s="14" t="s">
        <v>169</v>
      </c>
      <c r="C19" s="69">
        <v>800</v>
      </c>
      <c r="D19" s="13" t="s">
        <v>76</v>
      </c>
      <c r="E19" s="69">
        <v>108</v>
      </c>
      <c r="F19" s="70">
        <f>SUM(E19*C19)</f>
        <v>86400</v>
      </c>
      <c r="G19" s="69">
        <v>5</v>
      </c>
      <c r="H19" s="70">
        <f>SUM(G19*C19)</f>
        <v>4000</v>
      </c>
      <c r="I19" s="70">
        <f>SUM(H19+F19)</f>
        <v>90400</v>
      </c>
    </row>
    <row r="20" spans="1:9" s="8" customFormat="1" ht="21">
      <c r="A20" s="9">
        <v>1.33</v>
      </c>
      <c r="B20" s="14" t="s">
        <v>117</v>
      </c>
      <c r="C20" s="12">
        <v>800</v>
      </c>
      <c r="D20" s="13" t="s">
        <v>76</v>
      </c>
      <c r="E20" s="12">
        <v>350</v>
      </c>
      <c r="F20" s="6">
        <f>SUM(E20*C20)</f>
        <v>280000</v>
      </c>
      <c r="G20" s="12">
        <v>150</v>
      </c>
      <c r="H20" s="6">
        <f>SUM(G20*C20)</f>
        <v>120000</v>
      </c>
      <c r="I20" s="6">
        <f>SUM(H20+F20)</f>
        <v>400000</v>
      </c>
    </row>
    <row r="21" spans="1:9" s="8" customFormat="1" ht="21">
      <c r="A21" s="189"/>
      <c r="B21" s="190" t="s">
        <v>91</v>
      </c>
      <c r="C21" s="185"/>
      <c r="D21" s="186"/>
      <c r="E21" s="185"/>
      <c r="F21" s="185">
        <f>SUM(F8:F20)</f>
        <v>863970</v>
      </c>
      <c r="G21" s="185"/>
      <c r="H21" s="185">
        <f>SUM(H8:H20)</f>
        <v>313460</v>
      </c>
      <c r="I21" s="185">
        <f>SUM(I8:I20)</f>
        <v>1177430</v>
      </c>
    </row>
    <row r="22" spans="1:11" s="7" customFormat="1" ht="42">
      <c r="A22" s="2">
        <v>2</v>
      </c>
      <c r="B22" s="3" t="s">
        <v>164</v>
      </c>
      <c r="C22" s="4"/>
      <c r="D22" s="2"/>
      <c r="E22" s="5"/>
      <c r="F22" s="6"/>
      <c r="G22" s="6"/>
      <c r="H22" s="6"/>
      <c r="I22" s="6"/>
      <c r="K22" s="8"/>
    </row>
    <row r="23" spans="1:9" s="8" customFormat="1" ht="21">
      <c r="A23" s="9">
        <v>2.01</v>
      </c>
      <c r="B23" s="14" t="s">
        <v>92</v>
      </c>
      <c r="C23" s="6">
        <v>129</v>
      </c>
      <c r="D23" s="11" t="s">
        <v>98</v>
      </c>
      <c r="E23" s="6">
        <v>500</v>
      </c>
      <c r="F23" s="160">
        <f aca="true" t="shared" si="3" ref="F23:F29">C23*E23</f>
        <v>64500</v>
      </c>
      <c r="G23" s="6"/>
      <c r="H23" s="6">
        <f aca="true" t="shared" si="4" ref="H23:H29">SUM(G23*C23)</f>
        <v>0</v>
      </c>
      <c r="I23" s="160">
        <f aca="true" t="shared" si="5" ref="I23:I29">SUM(H23+F23)</f>
        <v>64500</v>
      </c>
    </row>
    <row r="24" spans="1:9" s="8" customFormat="1" ht="21">
      <c r="A24" s="9">
        <v>2.02</v>
      </c>
      <c r="B24" s="14" t="s">
        <v>93</v>
      </c>
      <c r="C24" s="12">
        <v>2</v>
      </c>
      <c r="D24" s="11" t="s">
        <v>98</v>
      </c>
      <c r="E24" s="12">
        <v>500</v>
      </c>
      <c r="F24" s="160">
        <f t="shared" si="3"/>
        <v>1000</v>
      </c>
      <c r="G24" s="12"/>
      <c r="H24" s="6">
        <f t="shared" si="4"/>
        <v>0</v>
      </c>
      <c r="I24" s="160">
        <f t="shared" si="5"/>
        <v>1000</v>
      </c>
    </row>
    <row r="25" spans="1:9" s="8" customFormat="1" ht="21">
      <c r="A25" s="9">
        <v>2.03</v>
      </c>
      <c r="B25" s="14" t="s">
        <v>94</v>
      </c>
      <c r="C25" s="12">
        <v>24</v>
      </c>
      <c r="D25" s="11" t="s">
        <v>98</v>
      </c>
      <c r="E25" s="12">
        <v>500</v>
      </c>
      <c r="F25" s="160">
        <f t="shared" si="3"/>
        <v>12000</v>
      </c>
      <c r="G25" s="12"/>
      <c r="H25" s="6">
        <f t="shared" si="4"/>
        <v>0</v>
      </c>
      <c r="I25" s="160">
        <f t="shared" si="5"/>
        <v>12000</v>
      </c>
    </row>
    <row r="26" spans="1:9" s="8" customFormat="1" ht="21">
      <c r="A26" s="9">
        <v>2.04</v>
      </c>
      <c r="B26" s="72" t="s">
        <v>95</v>
      </c>
      <c r="C26" s="12">
        <v>3</v>
      </c>
      <c r="D26" s="11" t="s">
        <v>98</v>
      </c>
      <c r="E26" s="12">
        <v>500</v>
      </c>
      <c r="F26" s="160">
        <f t="shared" si="3"/>
        <v>1500</v>
      </c>
      <c r="G26" s="6"/>
      <c r="H26" s="6">
        <f t="shared" si="4"/>
        <v>0</v>
      </c>
      <c r="I26" s="160">
        <f t="shared" si="5"/>
        <v>1500</v>
      </c>
    </row>
    <row r="27" spans="1:9" s="8" customFormat="1" ht="21">
      <c r="A27" s="9">
        <v>2.05</v>
      </c>
      <c r="B27" s="72" t="s">
        <v>97</v>
      </c>
      <c r="C27" s="12">
        <v>8</v>
      </c>
      <c r="D27" s="11" t="s">
        <v>98</v>
      </c>
      <c r="E27" s="12">
        <v>500</v>
      </c>
      <c r="F27" s="160">
        <f t="shared" si="3"/>
        <v>4000</v>
      </c>
      <c r="G27" s="6"/>
      <c r="H27" s="6">
        <f t="shared" si="4"/>
        <v>0</v>
      </c>
      <c r="I27" s="160">
        <f t="shared" si="5"/>
        <v>4000</v>
      </c>
    </row>
    <row r="28" spans="1:9" s="8" customFormat="1" ht="21">
      <c r="A28" s="9">
        <v>2.07</v>
      </c>
      <c r="B28" s="72" t="s">
        <v>170</v>
      </c>
      <c r="C28" s="12">
        <v>8</v>
      </c>
      <c r="D28" s="11" t="s">
        <v>98</v>
      </c>
      <c r="E28" s="12"/>
      <c r="F28" s="160">
        <f t="shared" si="3"/>
        <v>0</v>
      </c>
      <c r="G28" s="6">
        <v>500</v>
      </c>
      <c r="H28" s="6">
        <f t="shared" si="4"/>
        <v>4000</v>
      </c>
      <c r="I28" s="160">
        <f t="shared" si="5"/>
        <v>4000</v>
      </c>
    </row>
    <row r="29" spans="1:9" s="8" customFormat="1" ht="21">
      <c r="A29" s="9">
        <v>2.08</v>
      </c>
      <c r="B29" s="72" t="s">
        <v>151</v>
      </c>
      <c r="C29" s="12">
        <v>8</v>
      </c>
      <c r="D29" s="11" t="s">
        <v>98</v>
      </c>
      <c r="E29" s="12">
        <v>16600</v>
      </c>
      <c r="F29" s="160">
        <f t="shared" si="3"/>
        <v>132800</v>
      </c>
      <c r="G29" s="6">
        <v>2000</v>
      </c>
      <c r="H29" s="6">
        <f t="shared" si="4"/>
        <v>16000</v>
      </c>
      <c r="I29" s="160">
        <f t="shared" si="5"/>
        <v>148800</v>
      </c>
    </row>
    <row r="30" spans="1:9" s="8" customFormat="1" ht="21">
      <c r="A30" s="183"/>
      <c r="B30" s="184" t="s">
        <v>99</v>
      </c>
      <c r="C30" s="185"/>
      <c r="D30" s="186"/>
      <c r="E30" s="185"/>
      <c r="F30" s="187">
        <f>SUM(F23:F29)</f>
        <v>215800</v>
      </c>
      <c r="G30" s="188"/>
      <c r="H30" s="188">
        <f>SUM(H23:H29)</f>
        <v>20000</v>
      </c>
      <c r="I30" s="187">
        <f>SUM(I23:I29)</f>
        <v>235800</v>
      </c>
    </row>
    <row r="31" spans="1:9" s="8" customFormat="1" ht="21">
      <c r="A31" s="175"/>
      <c r="B31" s="176"/>
      <c r="C31" s="177"/>
      <c r="D31" s="178"/>
      <c r="E31" s="177"/>
      <c r="F31" s="179"/>
      <c r="G31" s="180"/>
      <c r="H31" s="180"/>
      <c r="I31" s="179"/>
    </row>
    <row r="32" spans="1:9" s="8" customFormat="1" ht="21">
      <c r="A32" s="175"/>
      <c r="B32" s="176"/>
      <c r="C32" s="177"/>
      <c r="D32" s="178"/>
      <c r="E32" s="177"/>
      <c r="F32" s="179"/>
      <c r="G32" s="180"/>
      <c r="H32" s="180"/>
      <c r="I32" s="179"/>
    </row>
    <row r="33" spans="1:9" s="8" customFormat="1" ht="21">
      <c r="A33" s="175"/>
      <c r="B33" s="176"/>
      <c r="C33" s="177"/>
      <c r="D33" s="178"/>
      <c r="E33" s="177"/>
      <c r="F33" s="179"/>
      <c r="G33" s="180"/>
      <c r="H33" s="180"/>
      <c r="I33" s="179"/>
    </row>
    <row r="34" spans="1:9" s="8" customFormat="1" ht="21">
      <c r="A34" s="175"/>
      <c r="B34" s="176"/>
      <c r="C34" s="177"/>
      <c r="D34" s="178"/>
      <c r="E34" s="177"/>
      <c r="F34" s="179"/>
      <c r="G34" s="180"/>
      <c r="H34" s="180"/>
      <c r="I34" s="179"/>
    </row>
    <row r="35" spans="1:9" s="8" customFormat="1" ht="21">
      <c r="A35" s="175"/>
      <c r="B35" s="176"/>
      <c r="C35" s="177"/>
      <c r="D35" s="178"/>
      <c r="E35" s="177"/>
      <c r="F35" s="179"/>
      <c r="G35" s="180"/>
      <c r="H35" s="180"/>
      <c r="I35" s="179"/>
    </row>
    <row r="36" spans="1:11" s="7" customFormat="1" ht="21">
      <c r="A36" s="2">
        <v>3</v>
      </c>
      <c r="B36" s="3" t="s">
        <v>96</v>
      </c>
      <c r="C36" s="4"/>
      <c r="D36" s="2"/>
      <c r="E36" s="5"/>
      <c r="F36" s="6"/>
      <c r="G36" s="6"/>
      <c r="H36" s="81"/>
      <c r="I36" s="6"/>
      <c r="K36" s="8"/>
    </row>
    <row r="37" spans="1:9" s="8" customFormat="1" ht="21">
      <c r="A37" s="9">
        <v>3.01</v>
      </c>
      <c r="B37" s="14" t="s">
        <v>172</v>
      </c>
      <c r="C37" s="6">
        <v>200</v>
      </c>
      <c r="D37" s="11" t="s">
        <v>76</v>
      </c>
      <c r="E37" s="6"/>
      <c r="F37" s="6">
        <f>C37*E37</f>
        <v>0</v>
      </c>
      <c r="G37" s="6">
        <v>25</v>
      </c>
      <c r="H37" s="12">
        <f aca="true" t="shared" si="6" ref="H37:H42">C37*G37</f>
        <v>5000</v>
      </c>
      <c r="I37" s="6">
        <f aca="true" t="shared" si="7" ref="I37:I42">F37+H37</f>
        <v>5000</v>
      </c>
    </row>
    <row r="38" spans="1:9" s="8" customFormat="1" ht="21">
      <c r="A38" s="9">
        <v>3.02</v>
      </c>
      <c r="B38" s="14" t="s">
        <v>173</v>
      </c>
      <c r="C38" s="12">
        <v>9.5</v>
      </c>
      <c r="D38" s="13" t="s">
        <v>76</v>
      </c>
      <c r="E38" s="12"/>
      <c r="F38" s="6">
        <f>C38*E38</f>
        <v>0</v>
      </c>
      <c r="G38" s="12">
        <v>25</v>
      </c>
      <c r="H38" s="12">
        <f t="shared" si="6"/>
        <v>237.5</v>
      </c>
      <c r="I38" s="6">
        <f t="shared" si="7"/>
        <v>237.5</v>
      </c>
    </row>
    <row r="39" spans="1:9" s="8" customFormat="1" ht="42">
      <c r="A39" s="9">
        <v>3.03</v>
      </c>
      <c r="B39" s="72" t="s">
        <v>175</v>
      </c>
      <c r="C39" s="12">
        <v>80</v>
      </c>
      <c r="D39" s="13" t="s">
        <v>76</v>
      </c>
      <c r="E39" s="12"/>
      <c r="F39" s="6"/>
      <c r="G39" s="12">
        <v>25</v>
      </c>
      <c r="H39" s="12">
        <f t="shared" si="6"/>
        <v>2000</v>
      </c>
      <c r="I39" s="6">
        <f t="shared" si="7"/>
        <v>2000</v>
      </c>
    </row>
    <row r="40" spans="1:9" s="8" customFormat="1" ht="42">
      <c r="A40" s="9">
        <v>3.04</v>
      </c>
      <c r="B40" s="72" t="s">
        <v>174</v>
      </c>
      <c r="C40" s="12">
        <v>200</v>
      </c>
      <c r="D40" s="13" t="s">
        <v>76</v>
      </c>
      <c r="E40" s="12">
        <v>82</v>
      </c>
      <c r="F40" s="6">
        <f>C40*E40</f>
        <v>16400</v>
      </c>
      <c r="G40" s="6">
        <v>65</v>
      </c>
      <c r="H40" s="12">
        <f t="shared" si="6"/>
        <v>13000</v>
      </c>
      <c r="I40" s="6">
        <f t="shared" si="7"/>
        <v>29400</v>
      </c>
    </row>
    <row r="41" spans="1:9" s="8" customFormat="1" ht="84">
      <c r="A41" s="9">
        <v>3.05</v>
      </c>
      <c r="B41" s="72" t="s">
        <v>183</v>
      </c>
      <c r="C41" s="12">
        <v>80</v>
      </c>
      <c r="D41" s="13" t="s">
        <v>76</v>
      </c>
      <c r="E41" s="12">
        <v>280</v>
      </c>
      <c r="F41" s="6">
        <f>C41*E41</f>
        <v>22400</v>
      </c>
      <c r="G41" s="6">
        <v>105</v>
      </c>
      <c r="H41" s="12">
        <f t="shared" si="6"/>
        <v>8400</v>
      </c>
      <c r="I41" s="6">
        <f t="shared" si="7"/>
        <v>30800</v>
      </c>
    </row>
    <row r="42" spans="1:9" s="8" customFormat="1" ht="63">
      <c r="A42" s="9">
        <v>3.07</v>
      </c>
      <c r="B42" s="72" t="s">
        <v>184</v>
      </c>
      <c r="C42" s="6">
        <v>9.5</v>
      </c>
      <c r="D42" s="11" t="s">
        <v>76</v>
      </c>
      <c r="E42" s="6">
        <v>270</v>
      </c>
      <c r="F42" s="6">
        <f>C42*E42</f>
        <v>2565</v>
      </c>
      <c r="G42" s="6">
        <v>82</v>
      </c>
      <c r="H42" s="12">
        <f t="shared" si="6"/>
        <v>779</v>
      </c>
      <c r="I42" s="6">
        <f t="shared" si="7"/>
        <v>3344</v>
      </c>
    </row>
    <row r="43" spans="1:11" s="7" customFormat="1" ht="21">
      <c r="A43" s="184"/>
      <c r="B43" s="184" t="s">
        <v>100</v>
      </c>
      <c r="C43" s="234"/>
      <c r="D43" s="183"/>
      <c r="E43" s="235"/>
      <c r="F43" s="185">
        <f>SUM(F37:F42)</f>
        <v>41365</v>
      </c>
      <c r="G43" s="185"/>
      <c r="H43" s="185">
        <f>SUM(H37:H42)</f>
        <v>29416.5</v>
      </c>
      <c r="I43" s="185">
        <f>SUM(I37:I42)</f>
        <v>70781.5</v>
      </c>
      <c r="K43" s="8"/>
    </row>
    <row r="44" spans="1:9" ht="21">
      <c r="A44" s="161">
        <v>4</v>
      </c>
      <c r="B44" s="162" t="s">
        <v>112</v>
      </c>
      <c r="C44" s="163"/>
      <c r="D44" s="164"/>
      <c r="E44" s="165"/>
      <c r="F44" s="165"/>
      <c r="G44" s="165"/>
      <c r="H44" s="165"/>
      <c r="I44" s="165"/>
    </row>
    <row r="45" spans="1:9" ht="21">
      <c r="A45" s="9">
        <v>4.01</v>
      </c>
      <c r="B45" s="10" t="s">
        <v>105</v>
      </c>
      <c r="C45" s="163"/>
      <c r="D45" s="164"/>
      <c r="E45" s="165"/>
      <c r="F45" s="165"/>
      <c r="G45" s="165"/>
      <c r="H45" s="165"/>
      <c r="I45" s="165"/>
    </row>
    <row r="46" spans="1:9" ht="21">
      <c r="A46" s="9">
        <v>4.02</v>
      </c>
      <c r="B46" s="10" t="s">
        <v>188</v>
      </c>
      <c r="C46" s="163">
        <v>25</v>
      </c>
      <c r="D46" s="164" t="s">
        <v>102</v>
      </c>
      <c r="E46" s="352">
        <v>1925.23</v>
      </c>
      <c r="F46" s="165">
        <f aca="true" t="shared" si="8" ref="F46:F52">C46*E46</f>
        <v>48130.75</v>
      </c>
      <c r="G46" s="165">
        <v>436</v>
      </c>
      <c r="H46" s="165">
        <f aca="true" t="shared" si="9" ref="H46:H52">C46*G46</f>
        <v>10900</v>
      </c>
      <c r="I46" s="165">
        <f aca="true" t="shared" si="10" ref="I46:I52">F46+H46</f>
        <v>59030.75</v>
      </c>
    </row>
    <row r="47" spans="1:9" ht="21">
      <c r="A47" s="9">
        <v>4.03</v>
      </c>
      <c r="B47" s="10" t="s">
        <v>106</v>
      </c>
      <c r="C47" s="163">
        <v>720</v>
      </c>
      <c r="D47" s="164" t="s">
        <v>103</v>
      </c>
      <c r="E47" s="165">
        <v>25.5</v>
      </c>
      <c r="F47" s="165">
        <f t="shared" si="8"/>
        <v>18360</v>
      </c>
      <c r="G47" s="166">
        <v>4.1</v>
      </c>
      <c r="H47" s="165">
        <f t="shared" si="9"/>
        <v>2951.9999999999995</v>
      </c>
      <c r="I47" s="165">
        <f t="shared" si="10"/>
        <v>21312</v>
      </c>
    </row>
    <row r="48" spans="1:9" ht="21">
      <c r="A48" s="9">
        <v>4.04</v>
      </c>
      <c r="B48" s="10" t="s">
        <v>104</v>
      </c>
      <c r="C48" s="163">
        <v>2.5</v>
      </c>
      <c r="D48" s="164" t="s">
        <v>102</v>
      </c>
      <c r="E48" s="165">
        <v>350.47</v>
      </c>
      <c r="F48" s="165">
        <f t="shared" si="8"/>
        <v>876.1750000000001</v>
      </c>
      <c r="G48" s="165">
        <v>50</v>
      </c>
      <c r="H48" s="165">
        <f t="shared" si="9"/>
        <v>125</v>
      </c>
      <c r="I48" s="165">
        <f t="shared" si="10"/>
        <v>1001.1750000000001</v>
      </c>
    </row>
    <row r="49" spans="1:9" ht="21">
      <c r="A49" s="9">
        <v>4.05</v>
      </c>
      <c r="B49" s="10" t="s">
        <v>107</v>
      </c>
      <c r="C49" s="163">
        <v>80</v>
      </c>
      <c r="D49" s="164" t="s">
        <v>76</v>
      </c>
      <c r="E49" s="165">
        <v>250</v>
      </c>
      <c r="F49" s="165">
        <f t="shared" si="8"/>
        <v>20000</v>
      </c>
      <c r="G49" s="165"/>
      <c r="H49" s="165">
        <f t="shared" si="9"/>
        <v>0</v>
      </c>
      <c r="I49" s="165">
        <f t="shared" si="10"/>
        <v>20000</v>
      </c>
    </row>
    <row r="50" spans="1:9" ht="21">
      <c r="A50" s="9">
        <v>4.06</v>
      </c>
      <c r="B50" s="10" t="s">
        <v>108</v>
      </c>
      <c r="C50" s="163">
        <v>80</v>
      </c>
      <c r="D50" s="164" t="s">
        <v>76</v>
      </c>
      <c r="E50" s="165"/>
      <c r="F50" s="165">
        <f t="shared" si="8"/>
        <v>0</v>
      </c>
      <c r="G50" s="165">
        <v>50</v>
      </c>
      <c r="H50" s="165">
        <f t="shared" si="9"/>
        <v>4000</v>
      </c>
      <c r="I50" s="165">
        <f t="shared" si="10"/>
        <v>4000</v>
      </c>
    </row>
    <row r="51" spans="1:9" ht="21">
      <c r="A51" s="9">
        <v>4.07</v>
      </c>
      <c r="B51" s="10" t="s">
        <v>109</v>
      </c>
      <c r="C51" s="163">
        <v>10</v>
      </c>
      <c r="D51" s="164" t="s">
        <v>103</v>
      </c>
      <c r="E51" s="165">
        <v>40.12</v>
      </c>
      <c r="F51" s="165">
        <f t="shared" si="8"/>
        <v>401.2</v>
      </c>
      <c r="G51" s="165"/>
      <c r="H51" s="165">
        <f t="shared" si="9"/>
        <v>0</v>
      </c>
      <c r="I51" s="165">
        <f t="shared" si="10"/>
        <v>401.2</v>
      </c>
    </row>
    <row r="52" spans="1:9" ht="21">
      <c r="A52" s="9">
        <v>4.08</v>
      </c>
      <c r="B52" s="10" t="s">
        <v>110</v>
      </c>
      <c r="C52" s="163">
        <v>30</v>
      </c>
      <c r="D52" s="164" t="s">
        <v>102</v>
      </c>
      <c r="E52" s="165"/>
      <c r="F52" s="165">
        <f t="shared" si="8"/>
        <v>0</v>
      </c>
      <c r="G52" s="166">
        <v>34.6</v>
      </c>
      <c r="H52" s="165">
        <f t="shared" si="9"/>
        <v>1038</v>
      </c>
      <c r="I52" s="165">
        <f t="shared" si="10"/>
        <v>1038</v>
      </c>
    </row>
    <row r="53" spans="1:9" ht="21">
      <c r="A53" s="167"/>
      <c r="B53" s="168" t="s">
        <v>111</v>
      </c>
      <c r="C53" s="169"/>
      <c r="D53" s="170"/>
      <c r="E53" s="171"/>
      <c r="F53" s="172">
        <f>SUM(F46:F52)</f>
        <v>87768.125</v>
      </c>
      <c r="G53" s="172"/>
      <c r="H53" s="172">
        <f>SUM(H46:H52)</f>
        <v>19015</v>
      </c>
      <c r="I53" s="172">
        <f>SUM(I46:I52)</f>
        <v>106783.125</v>
      </c>
    </row>
    <row r="54" spans="1:9" ht="21">
      <c r="A54" s="161">
        <v>5</v>
      </c>
      <c r="B54" s="162" t="s">
        <v>114</v>
      </c>
      <c r="C54" s="163"/>
      <c r="D54" s="164"/>
      <c r="E54" s="165"/>
      <c r="F54" s="165">
        <f>C54*E54</f>
        <v>0</v>
      </c>
      <c r="G54" s="165"/>
      <c r="H54" s="165">
        <f>C54*G54</f>
        <v>0</v>
      </c>
      <c r="I54" s="165">
        <f>F54+H54</f>
        <v>0</v>
      </c>
    </row>
    <row r="55" spans="1:9" ht="21">
      <c r="A55" s="9">
        <v>5.01</v>
      </c>
      <c r="B55" s="10" t="s">
        <v>114</v>
      </c>
      <c r="C55" s="163">
        <v>1</v>
      </c>
      <c r="D55" s="164" t="s">
        <v>115</v>
      </c>
      <c r="E55" s="165"/>
      <c r="F55" s="165">
        <f>C55*E55</f>
        <v>0</v>
      </c>
      <c r="G55" s="166">
        <v>5500</v>
      </c>
      <c r="H55" s="165">
        <f>C55*G55</f>
        <v>5500</v>
      </c>
      <c r="I55" s="165">
        <f>F55+H55</f>
        <v>5500</v>
      </c>
    </row>
    <row r="56" spans="1:9" ht="21">
      <c r="A56" s="167"/>
      <c r="B56" s="168" t="s">
        <v>113</v>
      </c>
      <c r="C56" s="169"/>
      <c r="D56" s="170"/>
      <c r="E56" s="171"/>
      <c r="F56" s="172">
        <f>SUM(F55:F55)</f>
        <v>0</v>
      </c>
      <c r="G56" s="172"/>
      <c r="H56" s="172">
        <f>SUM(H55:H55)</f>
        <v>5500</v>
      </c>
      <c r="I56" s="172">
        <f>F56+H56</f>
        <v>5500</v>
      </c>
    </row>
    <row r="57" spans="1:9" ht="21">
      <c r="A57" s="196"/>
      <c r="B57" s="197"/>
      <c r="C57" s="198"/>
      <c r="D57" s="199"/>
      <c r="E57" s="200"/>
      <c r="F57" s="201"/>
      <c r="G57" s="201"/>
      <c r="H57" s="201"/>
      <c r="I57" s="201"/>
    </row>
    <row r="58" spans="1:9" ht="21">
      <c r="A58" s="196"/>
      <c r="B58" s="197"/>
      <c r="C58" s="198"/>
      <c r="D58" s="199"/>
      <c r="E58" s="200"/>
      <c r="F58" s="201"/>
      <c r="G58" s="201"/>
      <c r="H58" s="201"/>
      <c r="I58" s="201"/>
    </row>
    <row r="59" spans="1:9" ht="21">
      <c r="A59" s="196"/>
      <c r="B59" s="197"/>
      <c r="C59" s="198"/>
      <c r="D59" s="199"/>
      <c r="E59" s="200"/>
      <c r="F59" s="201"/>
      <c r="G59" s="201"/>
      <c r="H59" s="201"/>
      <c r="I59" s="201"/>
    </row>
    <row r="60" spans="1:9" ht="21">
      <c r="A60" s="196"/>
      <c r="B60" s="197"/>
      <c r="C60" s="198"/>
      <c r="D60" s="199"/>
      <c r="E60" s="200"/>
      <c r="F60" s="201"/>
      <c r="G60" s="201"/>
      <c r="H60" s="201"/>
      <c r="I60" s="201"/>
    </row>
    <row r="61" spans="1:9" ht="21">
      <c r="A61" s="196"/>
      <c r="B61" s="197"/>
      <c r="C61" s="198"/>
      <c r="D61" s="199"/>
      <c r="E61" s="200"/>
      <c r="F61" s="201"/>
      <c r="G61" s="201"/>
      <c r="H61" s="201"/>
      <c r="I61" s="201"/>
    </row>
    <row r="62" spans="1:9" ht="21">
      <c r="A62" s="191">
        <v>6</v>
      </c>
      <c r="B62" s="192" t="s">
        <v>165</v>
      </c>
      <c r="C62" s="193"/>
      <c r="D62" s="194"/>
      <c r="E62" s="195"/>
      <c r="F62" s="195"/>
      <c r="G62" s="195"/>
      <c r="H62" s="195"/>
      <c r="I62" s="195"/>
    </row>
    <row r="63" spans="1:9" ht="21">
      <c r="A63" s="161"/>
      <c r="B63" s="162" t="s">
        <v>118</v>
      </c>
      <c r="C63" s="163"/>
      <c r="D63" s="164"/>
      <c r="E63" s="165"/>
      <c r="F63" s="165"/>
      <c r="G63" s="165"/>
      <c r="H63" s="165"/>
      <c r="I63" s="165"/>
    </row>
    <row r="64" spans="1:9" ht="21">
      <c r="A64" s="9">
        <v>6.01</v>
      </c>
      <c r="B64" s="10" t="s">
        <v>119</v>
      </c>
      <c r="C64" s="163">
        <v>5</v>
      </c>
      <c r="D64" s="164" t="s">
        <v>120</v>
      </c>
      <c r="E64" s="165"/>
      <c r="F64" s="165">
        <f>C64*E64</f>
        <v>0</v>
      </c>
      <c r="G64" s="166">
        <v>700</v>
      </c>
      <c r="H64" s="165">
        <f>C64*G64</f>
        <v>3500</v>
      </c>
      <c r="I64" s="165">
        <f>F64+H64</f>
        <v>3500</v>
      </c>
    </row>
    <row r="65" spans="1:9" ht="21">
      <c r="A65" s="9">
        <v>6.02</v>
      </c>
      <c r="B65" s="10" t="s">
        <v>121</v>
      </c>
      <c r="C65" s="163">
        <v>1</v>
      </c>
      <c r="D65" s="164" t="s">
        <v>120</v>
      </c>
      <c r="E65" s="165"/>
      <c r="F65" s="165"/>
      <c r="G65" s="166">
        <v>5000</v>
      </c>
      <c r="H65" s="165">
        <f>C65*G65</f>
        <v>5000</v>
      </c>
      <c r="I65" s="165">
        <f>F65+H65</f>
        <v>5000</v>
      </c>
    </row>
    <row r="66" spans="1:9" ht="21">
      <c r="A66" s="167"/>
      <c r="B66" s="168" t="s">
        <v>116</v>
      </c>
      <c r="C66" s="169"/>
      <c r="D66" s="170"/>
      <c r="E66" s="171"/>
      <c r="F66" s="172">
        <f>SUM(F64:F64)</f>
        <v>0</v>
      </c>
      <c r="G66" s="172">
        <f>G64+G65</f>
        <v>5700</v>
      </c>
      <c r="H66" s="172">
        <f>H64+H65</f>
        <v>8500</v>
      </c>
      <c r="I66" s="172">
        <f>I64+I65</f>
        <v>8500</v>
      </c>
    </row>
    <row r="67" spans="1:9" ht="21">
      <c r="A67" s="161">
        <v>7</v>
      </c>
      <c r="B67" s="162" t="s">
        <v>150</v>
      </c>
      <c r="C67" s="163"/>
      <c r="D67" s="164"/>
      <c r="E67" s="165"/>
      <c r="F67" s="165"/>
      <c r="G67" s="165"/>
      <c r="H67" s="165"/>
      <c r="I67" s="165"/>
    </row>
    <row r="68" spans="1:9" ht="21">
      <c r="A68" s="9">
        <v>7.01</v>
      </c>
      <c r="B68" s="10" t="s">
        <v>182</v>
      </c>
      <c r="C68" s="163">
        <v>4.5</v>
      </c>
      <c r="D68" s="164" t="s">
        <v>102</v>
      </c>
      <c r="E68" s="165"/>
      <c r="F68" s="165"/>
      <c r="G68" s="165">
        <v>500</v>
      </c>
      <c r="H68" s="165">
        <f aca="true" t="shared" si="11" ref="H68:H74">G68*C68</f>
        <v>2250</v>
      </c>
      <c r="I68" s="165">
        <f aca="true" t="shared" si="12" ref="I68:I74">H68+F68</f>
        <v>2250</v>
      </c>
    </row>
    <row r="69" spans="1:9" ht="21">
      <c r="A69" s="9">
        <v>7.02</v>
      </c>
      <c r="B69" s="10" t="s">
        <v>185</v>
      </c>
      <c r="C69" s="163">
        <v>15</v>
      </c>
      <c r="D69" s="164" t="s">
        <v>102</v>
      </c>
      <c r="E69" s="165"/>
      <c r="F69" s="165"/>
      <c r="G69" s="165">
        <v>90</v>
      </c>
      <c r="H69" s="165">
        <f t="shared" si="11"/>
        <v>1350</v>
      </c>
      <c r="I69" s="165">
        <f t="shared" si="12"/>
        <v>1350</v>
      </c>
    </row>
    <row r="70" spans="1:9" ht="21">
      <c r="A70" s="9">
        <v>7.03</v>
      </c>
      <c r="B70" s="10" t="s">
        <v>104</v>
      </c>
      <c r="C70" s="163">
        <v>1</v>
      </c>
      <c r="D70" s="164" t="s">
        <v>102</v>
      </c>
      <c r="E70" s="165">
        <v>377</v>
      </c>
      <c r="F70" s="165">
        <f>C70*E70</f>
        <v>377</v>
      </c>
      <c r="G70" s="165">
        <v>90</v>
      </c>
      <c r="H70" s="165">
        <f t="shared" si="11"/>
        <v>90</v>
      </c>
      <c r="I70" s="165">
        <f t="shared" si="12"/>
        <v>467</v>
      </c>
    </row>
    <row r="71" spans="1:9" ht="21">
      <c r="A71" s="9">
        <v>7.04</v>
      </c>
      <c r="B71" s="10" t="s">
        <v>186</v>
      </c>
      <c r="C71" s="163">
        <v>1</v>
      </c>
      <c r="D71" s="164" t="s">
        <v>102</v>
      </c>
      <c r="E71" s="165">
        <v>1610</v>
      </c>
      <c r="F71" s="165">
        <f>C71*E71</f>
        <v>1610</v>
      </c>
      <c r="G71" s="165">
        <v>300</v>
      </c>
      <c r="H71" s="165">
        <f t="shared" si="11"/>
        <v>300</v>
      </c>
      <c r="I71" s="165">
        <f t="shared" si="12"/>
        <v>1910</v>
      </c>
    </row>
    <row r="72" spans="1:9" ht="21">
      <c r="A72" s="9">
        <v>7.05</v>
      </c>
      <c r="B72" s="10" t="s">
        <v>187</v>
      </c>
      <c r="C72" s="163">
        <v>36</v>
      </c>
      <c r="D72" s="164" t="s">
        <v>189</v>
      </c>
      <c r="E72" s="165">
        <v>235</v>
      </c>
      <c r="F72" s="165">
        <f>C72*E72</f>
        <v>8460</v>
      </c>
      <c r="G72" s="165">
        <v>30</v>
      </c>
      <c r="H72" s="165">
        <f t="shared" si="11"/>
        <v>1080</v>
      </c>
      <c r="I72" s="165">
        <f t="shared" si="12"/>
        <v>9540</v>
      </c>
    </row>
    <row r="73" spans="1:9" ht="21">
      <c r="A73" s="9">
        <v>7.06</v>
      </c>
      <c r="B73" s="10" t="s">
        <v>188</v>
      </c>
      <c r="C73" s="163">
        <v>10</v>
      </c>
      <c r="D73" s="164" t="s">
        <v>102</v>
      </c>
      <c r="E73" s="352">
        <v>1925.23</v>
      </c>
      <c r="F73" s="165">
        <f>C73*E73</f>
        <v>19252.3</v>
      </c>
      <c r="G73" s="165">
        <v>436</v>
      </c>
      <c r="H73" s="165">
        <f t="shared" si="11"/>
        <v>4360</v>
      </c>
      <c r="I73" s="165">
        <f t="shared" si="12"/>
        <v>23612.3</v>
      </c>
    </row>
    <row r="74" spans="1:9" ht="21">
      <c r="A74" s="9">
        <v>7.07</v>
      </c>
      <c r="B74" s="10" t="s">
        <v>191</v>
      </c>
      <c r="C74" s="163">
        <v>5</v>
      </c>
      <c r="D74" s="164" t="s">
        <v>102</v>
      </c>
      <c r="E74" s="165"/>
      <c r="F74" s="165"/>
      <c r="G74" s="165">
        <v>90</v>
      </c>
      <c r="H74" s="165">
        <f t="shared" si="11"/>
        <v>450</v>
      </c>
      <c r="I74" s="165">
        <f t="shared" si="12"/>
        <v>450</v>
      </c>
    </row>
    <row r="75" spans="1:15" ht="21">
      <c r="A75" s="9">
        <v>7.08</v>
      </c>
      <c r="B75" s="10" t="s">
        <v>123</v>
      </c>
      <c r="C75" s="163">
        <v>64</v>
      </c>
      <c r="D75" s="164" t="s">
        <v>79</v>
      </c>
      <c r="E75" s="165">
        <v>851</v>
      </c>
      <c r="F75" s="165">
        <f>C75*E75</f>
        <v>54464</v>
      </c>
      <c r="G75" s="165">
        <v>308</v>
      </c>
      <c r="H75" s="165">
        <f>C75*G75</f>
        <v>19712</v>
      </c>
      <c r="I75" s="165">
        <f>F75+H75</f>
        <v>74176</v>
      </c>
      <c r="O75" s="1" t="s">
        <v>149</v>
      </c>
    </row>
    <row r="76" spans="1:9" ht="21">
      <c r="A76" s="181"/>
      <c r="B76" s="10" t="s">
        <v>176</v>
      </c>
      <c r="C76" s="163"/>
      <c r="D76" s="164"/>
      <c r="E76" s="165"/>
      <c r="F76" s="165"/>
      <c r="G76" s="166"/>
      <c r="H76" s="165"/>
      <c r="I76" s="165"/>
    </row>
    <row r="77" spans="1:9" ht="21">
      <c r="A77" s="181">
        <v>7.09</v>
      </c>
      <c r="B77" s="10" t="s">
        <v>124</v>
      </c>
      <c r="C77" s="163">
        <v>18</v>
      </c>
      <c r="D77" s="164" t="s">
        <v>125</v>
      </c>
      <c r="E77" s="165">
        <v>200</v>
      </c>
      <c r="F77" s="165">
        <f>C77*E77</f>
        <v>3600</v>
      </c>
      <c r="G77" s="166">
        <v>100</v>
      </c>
      <c r="H77" s="165">
        <f>C77*G77</f>
        <v>1800</v>
      </c>
      <c r="I77" s="165">
        <f aca="true" t="shared" si="13" ref="I77:I82">F77+H77</f>
        <v>5400</v>
      </c>
    </row>
    <row r="78" spans="1:9" ht="21">
      <c r="A78" s="181">
        <v>7.1</v>
      </c>
      <c r="B78" s="10" t="s">
        <v>126</v>
      </c>
      <c r="C78" s="163">
        <v>115</v>
      </c>
      <c r="D78" s="164" t="s">
        <v>76</v>
      </c>
      <c r="E78" s="165">
        <v>58</v>
      </c>
      <c r="F78" s="165">
        <f>C78*E78</f>
        <v>6670</v>
      </c>
      <c r="G78" s="166">
        <v>35</v>
      </c>
      <c r="H78" s="165">
        <f>C78*G78</f>
        <v>4025</v>
      </c>
      <c r="I78" s="165">
        <f t="shared" si="13"/>
        <v>10695</v>
      </c>
    </row>
    <row r="79" spans="1:9" ht="21">
      <c r="A79" s="181">
        <v>7.11</v>
      </c>
      <c r="B79" s="10" t="s">
        <v>127</v>
      </c>
      <c r="C79" s="163">
        <v>128</v>
      </c>
      <c r="D79" s="164" t="s">
        <v>76</v>
      </c>
      <c r="E79" s="165">
        <v>290</v>
      </c>
      <c r="F79" s="165">
        <f>C79*E79</f>
        <v>37120</v>
      </c>
      <c r="G79" s="166">
        <v>70</v>
      </c>
      <c r="H79" s="165">
        <f>C79*G79</f>
        <v>8960</v>
      </c>
      <c r="I79" s="165">
        <f t="shared" si="13"/>
        <v>46080</v>
      </c>
    </row>
    <row r="80" spans="1:9" ht="21">
      <c r="A80" s="181"/>
      <c r="B80" s="10" t="s">
        <v>128</v>
      </c>
      <c r="C80" s="163"/>
      <c r="D80" s="164"/>
      <c r="E80" s="165"/>
      <c r="F80" s="165"/>
      <c r="G80" s="166"/>
      <c r="H80" s="165"/>
      <c r="I80" s="165">
        <f t="shared" si="13"/>
        <v>0</v>
      </c>
    </row>
    <row r="81" spans="1:9" ht="21">
      <c r="A81" s="181">
        <v>7.12</v>
      </c>
      <c r="B81" s="10" t="s">
        <v>130</v>
      </c>
      <c r="C81" s="163">
        <v>26</v>
      </c>
      <c r="D81" s="164" t="s">
        <v>129</v>
      </c>
      <c r="E81" s="165">
        <v>220</v>
      </c>
      <c r="F81" s="165">
        <f>C81*E81</f>
        <v>5720</v>
      </c>
      <c r="G81" s="166">
        <v>60</v>
      </c>
      <c r="H81" s="165">
        <f>C81*G81</f>
        <v>1560</v>
      </c>
      <c r="I81" s="165">
        <f t="shared" si="13"/>
        <v>7280</v>
      </c>
    </row>
    <row r="82" spans="1:9" ht="24">
      <c r="A82" s="181">
        <v>7.13</v>
      </c>
      <c r="B82" s="237" t="s">
        <v>181</v>
      </c>
      <c r="C82" s="163">
        <v>4</v>
      </c>
      <c r="D82" s="164" t="s">
        <v>125</v>
      </c>
      <c r="E82" s="165">
        <v>1000</v>
      </c>
      <c r="F82" s="165">
        <f>C82*E82</f>
        <v>4000</v>
      </c>
      <c r="G82" s="166"/>
      <c r="H82" s="165">
        <f>C82*G82</f>
        <v>0</v>
      </c>
      <c r="I82" s="165">
        <f t="shared" si="13"/>
        <v>4000</v>
      </c>
    </row>
    <row r="83" spans="1:9" ht="21">
      <c r="A83" s="181"/>
      <c r="B83" s="10" t="s">
        <v>180</v>
      </c>
      <c r="C83" s="163"/>
      <c r="D83" s="164"/>
      <c r="E83" s="165"/>
      <c r="F83" s="165"/>
      <c r="G83" s="166"/>
      <c r="H83" s="165"/>
      <c r="I83" s="165"/>
    </row>
    <row r="84" spans="1:9" ht="21">
      <c r="A84" s="181">
        <v>7.14</v>
      </c>
      <c r="B84" s="10" t="s">
        <v>179</v>
      </c>
      <c r="C84" s="163">
        <v>2</v>
      </c>
      <c r="D84" s="164" t="s">
        <v>125</v>
      </c>
      <c r="E84" s="165">
        <v>50</v>
      </c>
      <c r="F84" s="165">
        <f>C84*E84</f>
        <v>100</v>
      </c>
      <c r="G84" s="166"/>
      <c r="H84" s="165">
        <f>C84*G84</f>
        <v>0</v>
      </c>
      <c r="I84" s="165">
        <f>F84+H84</f>
        <v>100</v>
      </c>
    </row>
    <row r="85" spans="1:9" ht="21">
      <c r="A85" s="181">
        <v>7.15</v>
      </c>
      <c r="B85" s="10" t="s">
        <v>178</v>
      </c>
      <c r="C85" s="163">
        <v>1</v>
      </c>
      <c r="D85" s="164" t="s">
        <v>115</v>
      </c>
      <c r="E85" s="165">
        <v>3500</v>
      </c>
      <c r="F85" s="165">
        <f>C85*E85</f>
        <v>3500</v>
      </c>
      <c r="G85" s="166"/>
      <c r="H85" s="165">
        <f>C85*G85</f>
        <v>0</v>
      </c>
      <c r="I85" s="165">
        <f>F85+H85</f>
        <v>3500</v>
      </c>
    </row>
    <row r="86" spans="1:9" ht="21">
      <c r="A86" s="167"/>
      <c r="B86" s="168" t="s">
        <v>122</v>
      </c>
      <c r="C86" s="169"/>
      <c r="D86" s="170"/>
      <c r="E86" s="171"/>
      <c r="F86" s="172">
        <f>SUM(F68:F85)</f>
        <v>144873.3</v>
      </c>
      <c r="G86" s="172"/>
      <c r="H86" s="172">
        <f>SUM(H68:H85)</f>
        <v>45937</v>
      </c>
      <c r="I86" s="172">
        <f>SUM(I68:I85)</f>
        <v>190810.3</v>
      </c>
    </row>
  </sheetData>
  <sheetProtection/>
  <mergeCells count="5">
    <mergeCell ref="E4:F4"/>
    <mergeCell ref="G4:H4"/>
    <mergeCell ref="A1:I1"/>
    <mergeCell ref="A2:I2"/>
    <mergeCell ref="A3:I3"/>
  </mergeCells>
  <printOptions/>
  <pageMargins left="0.2755905511811024" right="0.11811023622047245" top="0.1968503937007874" bottom="0.3937007874015748" header="0.3937007874015748" footer="0.7086614173228347"/>
  <pageSetup horizontalDpi="600" verticalDpi="600" orientation="portrait" paperSize="9" r:id="rId2"/>
  <headerFooter alignWithMargins="0">
    <oddHeader>&amp;R&amp;"TH SarabunPSK,ธรรมดา"ปร.4 &amp;"DilleniaUPC,ธรรมดา" &amp;"TH SarabunPSK,ธรรมดา"&amp;P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1:Z114"/>
  <sheetViews>
    <sheetView showGridLines="0" showRowColHeaders="0" zoomScaleSheetLayoutView="100" zoomScalePageLayoutView="0" workbookViewId="0" topLeftCell="A1">
      <selection activeCell="D14" sqref="D14"/>
    </sheetView>
  </sheetViews>
  <sheetFormatPr defaultColWidth="9.140625" defaultRowHeight="21.75"/>
  <cols>
    <col min="1" max="1" width="9.140625" style="82" customWidth="1"/>
    <col min="2" max="2" width="7.8515625" style="82" customWidth="1"/>
    <col min="3" max="3" width="14.7109375" style="82" customWidth="1"/>
    <col min="4" max="7" width="11.28125" style="82" customWidth="1"/>
    <col min="8" max="9" width="12.28125" style="82" customWidth="1"/>
    <col min="10" max="11" width="7.7109375" style="82" customWidth="1"/>
    <col min="12" max="16384" width="9.140625" style="82" customWidth="1"/>
  </cols>
  <sheetData>
    <row r="1" spans="2:11" ht="26.25">
      <c r="B1" s="339" t="s">
        <v>59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ht="24">
      <c r="B2" s="340" t="str">
        <f>สรุป!A2</f>
        <v>ปรับปรุงอาคารเรียนอาคารพลังงาน</v>
      </c>
      <c r="C2" s="340"/>
      <c r="D2" s="340"/>
      <c r="E2" s="340"/>
      <c r="F2" s="340"/>
      <c r="G2" s="340"/>
      <c r="H2" s="340"/>
      <c r="I2" s="340"/>
      <c r="J2" s="340"/>
      <c r="K2" s="340"/>
    </row>
    <row r="3" spans="2:11" ht="24">
      <c r="B3" s="340" t="str">
        <f>('[4]สรุป'!A3)</f>
        <v>มหาวิทยาลัยราชภัฏอุตรดิตถ์</v>
      </c>
      <c r="C3" s="340"/>
      <c r="D3" s="340"/>
      <c r="E3" s="340"/>
      <c r="F3" s="340"/>
      <c r="G3" s="340"/>
      <c r="H3" s="340"/>
      <c r="I3" s="340"/>
      <c r="J3" s="340"/>
      <c r="K3" s="340"/>
    </row>
    <row r="4" spans="2:11" ht="15" customHeight="1"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2:11" ht="16.5" customHeight="1">
      <c r="B5" s="341" t="s">
        <v>52</v>
      </c>
      <c r="C5" s="342"/>
      <c r="D5" s="342"/>
      <c r="E5" s="84">
        <f>SUM(สรุป!F8)/1000000</f>
        <v>1.7956049250000001</v>
      </c>
      <c r="F5" s="85" t="s">
        <v>29</v>
      </c>
      <c r="G5" s="86"/>
      <c r="H5" s="86"/>
      <c r="I5" s="86"/>
      <c r="J5" s="87"/>
      <c r="K5" s="88"/>
    </row>
    <row r="6" spans="2:11" ht="18" customHeight="1">
      <c r="B6" s="89"/>
      <c r="C6" s="90" t="s">
        <v>33</v>
      </c>
      <c r="D6" s="90"/>
      <c r="E6" s="90">
        <f>SUM(E41)</f>
        <v>0</v>
      </c>
      <c r="F6" s="91" t="s">
        <v>34</v>
      </c>
      <c r="G6" s="90" t="s">
        <v>35</v>
      </c>
      <c r="H6" s="92"/>
      <c r="I6" s="90"/>
      <c r="J6" s="90">
        <v>6</v>
      </c>
      <c r="K6" s="93" t="s">
        <v>36</v>
      </c>
    </row>
    <row r="7" spans="2:11" ht="21" customHeight="1">
      <c r="B7" s="94"/>
      <c r="C7" s="95" t="s">
        <v>37</v>
      </c>
      <c r="D7" s="95"/>
      <c r="E7" s="95">
        <f>SUM(E42)</f>
        <v>0</v>
      </c>
      <c r="F7" s="96" t="s">
        <v>34</v>
      </c>
      <c r="G7" s="97" t="s">
        <v>38</v>
      </c>
      <c r="H7" s="95"/>
      <c r="I7" s="95"/>
      <c r="J7" s="95">
        <f>SUM(J42)</f>
        <v>7</v>
      </c>
      <c r="K7" s="98" t="s">
        <v>34</v>
      </c>
    </row>
    <row r="8" spans="2:11" ht="20.25" customHeight="1">
      <c r="B8" s="315" t="s">
        <v>40</v>
      </c>
      <c r="C8" s="343"/>
      <c r="D8" s="315" t="s">
        <v>24</v>
      </c>
      <c r="E8" s="317"/>
      <c r="F8" s="317"/>
      <c r="G8" s="316"/>
      <c r="H8" s="99" t="s">
        <v>41</v>
      </c>
      <c r="I8" s="101" t="s">
        <v>42</v>
      </c>
      <c r="J8" s="315" t="s">
        <v>39</v>
      </c>
      <c r="K8" s="316"/>
    </row>
    <row r="9" spans="2:11" ht="21.75" customHeight="1">
      <c r="B9" s="324" t="s">
        <v>29</v>
      </c>
      <c r="C9" s="345"/>
      <c r="D9" s="326" t="s">
        <v>34</v>
      </c>
      <c r="E9" s="327"/>
      <c r="F9" s="327"/>
      <c r="G9" s="328"/>
      <c r="H9" s="102" t="s">
        <v>44</v>
      </c>
      <c r="I9" s="103" t="s">
        <v>45</v>
      </c>
      <c r="J9" s="324"/>
      <c r="K9" s="325"/>
    </row>
    <row r="10" spans="2:11" ht="21.75" customHeight="1">
      <c r="B10" s="324"/>
      <c r="C10" s="345"/>
      <c r="D10" s="101" t="s">
        <v>43</v>
      </c>
      <c r="E10" s="100" t="s">
        <v>43</v>
      </c>
      <c r="F10" s="101" t="s">
        <v>43</v>
      </c>
      <c r="G10" s="101" t="s">
        <v>8</v>
      </c>
      <c r="H10" s="104"/>
      <c r="I10" s="105"/>
      <c r="J10" s="324"/>
      <c r="K10" s="325"/>
    </row>
    <row r="11" spans="2:11" ht="20.25" customHeight="1">
      <c r="B11" s="330"/>
      <c r="C11" s="332"/>
      <c r="D11" s="107" t="s">
        <v>46</v>
      </c>
      <c r="E11" s="108" t="s">
        <v>47</v>
      </c>
      <c r="F11" s="107" t="s">
        <v>48</v>
      </c>
      <c r="G11" s="107" t="s">
        <v>49</v>
      </c>
      <c r="H11" s="106"/>
      <c r="I11" s="109"/>
      <c r="J11" s="330"/>
      <c r="K11" s="344"/>
    </row>
    <row r="12" spans="2:11" ht="19.5" customHeight="1">
      <c r="B12" s="110" t="s">
        <v>51</v>
      </c>
      <c r="C12" s="110">
        <f>(IF(OR(E5=C47,E5&lt;C47),E5,(IF(AND(E5&gt;C47,(OR(E5&lt;C69,E5=C69))),VLOOKUP(E5,C47:F69,1),E5))))</f>
        <v>1</v>
      </c>
      <c r="D12" s="111">
        <f>(IF(OR(E5=C47,E5&lt;C47),D47,(IF(AND(E5&gt;C47,(OR(E5&lt;C69,E5=C69))),VLOOKUP(E5,C47:F69,2),D70))))</f>
        <v>15.4672</v>
      </c>
      <c r="E12" s="112">
        <v>1</v>
      </c>
      <c r="F12" s="111">
        <f>(IF(OR(E5=C47,E5&lt;C47),F47,(IF(AND(E5&gt;C47,(OR(E5&lt;C69,E5=C69))),VLOOKUP(E5,C47:F69,4),F70))))</f>
        <v>5.5</v>
      </c>
      <c r="G12" s="111">
        <f>(D12+E12+F12)</f>
        <v>21.9672</v>
      </c>
      <c r="H12" s="111">
        <f>1+(G12/100)</f>
        <v>1.219672</v>
      </c>
      <c r="I12" s="111">
        <f>1+($J$42/100)</f>
        <v>1.07</v>
      </c>
      <c r="J12" s="333">
        <f>(H12*I12)</f>
        <v>1.30504904</v>
      </c>
      <c r="K12" s="333"/>
    </row>
    <row r="13" spans="2:11" ht="20.25" customHeight="1">
      <c r="B13" s="110" t="s">
        <v>50</v>
      </c>
      <c r="C13" s="110">
        <f ca="1">(IF(OR(E5=C47,E5&lt;C47),E5,(IF(AND(E5&gt;C47,(OR(E5&lt;C69,E5=C69))),(IF(VLOOKUP(E5,C47:F69,1)=E5,E5,OFFSET(C47:C69,MATCH(C12,C47:C69),0,1,1))),E5))))</f>
        <v>2</v>
      </c>
      <c r="D13" s="111">
        <f ca="1">(IF(OR(E5=C47,E5&lt;C47),D12,(IF(AND(E5&gt;C47,(OR(E5&lt;C69,E5=C69))),(IF(VLOOKUP(E5,C47:F69,1)=E5,D12,OFFSET(C47:C69,MATCH(C12,C47:C69),1,1,1))),D12))))</f>
        <v>15.3236</v>
      </c>
      <c r="E13" s="112">
        <v>1</v>
      </c>
      <c r="F13" s="111">
        <f ca="1">(IF(OR(E5=C47,E5&lt;C47),F12,(IF(AND(E5&gt;C47,(OR(E5&lt;C69,E5=C69))),(IF(VLOOKUP(E5,C47:F69,1)=E5,F12,OFFSET(C47:C69,MATCH(C12,C47:C69),3,1,1))),F12))))</f>
        <v>5.5</v>
      </c>
      <c r="G13" s="111">
        <f>(D13+E13+F13)</f>
        <v>21.8236</v>
      </c>
      <c r="H13" s="111">
        <f>1+(G13/100)</f>
        <v>1.218236</v>
      </c>
      <c r="I13" s="111">
        <f>1+($J$42/100)</f>
        <v>1.07</v>
      </c>
      <c r="J13" s="334">
        <f>(H13*I13)</f>
        <v>1.3035125200000002</v>
      </c>
      <c r="K13" s="335"/>
    </row>
    <row r="14" spans="2:11" ht="17.25" customHeight="1">
      <c r="B14" s="113" t="s">
        <v>58</v>
      </c>
      <c r="C14" s="114">
        <f>SUM(E5)</f>
        <v>1.7956049250000001</v>
      </c>
      <c r="D14" s="115">
        <f>IF(C12=C13,D13,(D13-(((C13-C14)*(D13-D12))/(C13-C12))))</f>
        <v>15.35295113277</v>
      </c>
      <c r="E14" s="115">
        <f>IF(C12=C13,E13,(E13-(((C13-C14)*(E13-E12))/(C13-C12))))</f>
        <v>1</v>
      </c>
      <c r="F14" s="115">
        <f>IF(C12=C13,F13,(F13-(((C13-C14)*(F13-F12))/(C13-C12))))</f>
        <v>5.5</v>
      </c>
      <c r="G14" s="115">
        <f>SUM(D14:F14)</f>
        <v>21.852951132770002</v>
      </c>
      <c r="H14" s="115">
        <f>1+(G14/100)</f>
        <v>1.2185295113277</v>
      </c>
      <c r="I14" s="115">
        <f>1+($J$42/100)</f>
        <v>1.07</v>
      </c>
      <c r="J14" s="336">
        <f>(H14*I14)</f>
        <v>1.303826577120639</v>
      </c>
      <c r="K14" s="337"/>
    </row>
    <row r="15" spans="2:12" ht="18.75" customHeight="1">
      <c r="B15" s="116"/>
      <c r="C15" s="117"/>
      <c r="D15" s="118"/>
      <c r="E15" s="118"/>
      <c r="F15" s="118"/>
      <c r="G15" s="118"/>
      <c r="H15" s="118"/>
      <c r="I15" s="118"/>
      <c r="J15" s="118"/>
      <c r="K15" s="118"/>
      <c r="L15" s="119"/>
    </row>
    <row r="16" spans="2:12" ht="20.25" customHeight="1">
      <c r="B16" s="116"/>
      <c r="C16" s="120"/>
      <c r="D16" s="121"/>
      <c r="E16" s="121"/>
      <c r="F16" s="121"/>
      <c r="G16" s="121"/>
      <c r="H16" s="121"/>
      <c r="I16" s="121"/>
      <c r="J16" s="338">
        <f>IF(IF(C12=C13,J13,(J13-(((C13-C14)*(J13-J12))/(C13-C12))))=J14,"","Try again")</f>
      </c>
      <c r="K16" s="338"/>
      <c r="L16" s="119"/>
    </row>
    <row r="17" spans="2:11" ht="18.75" customHeight="1">
      <c r="B17" s="116"/>
      <c r="C17" s="122" t="s">
        <v>57</v>
      </c>
      <c r="D17" s="121"/>
      <c r="E17" s="121"/>
      <c r="F17" s="121"/>
      <c r="G17" s="121"/>
      <c r="H17" s="123">
        <f>SUM(E5)*1000000</f>
        <v>1795604.925</v>
      </c>
      <c r="I17" s="118" t="s">
        <v>10</v>
      </c>
      <c r="J17" s="121"/>
      <c r="K17" s="121"/>
    </row>
    <row r="18" spans="2:11" ht="19.5" customHeight="1">
      <c r="B18" s="116"/>
      <c r="C18" s="124" t="s">
        <v>62</v>
      </c>
      <c r="D18" s="125" t="s">
        <v>60</v>
      </c>
      <c r="E18" s="126"/>
      <c r="F18" s="126"/>
      <c r="G18" s="126"/>
      <c r="H18" s="127">
        <f>SUM(D14)</f>
        <v>15.35295113277</v>
      </c>
      <c r="I18" s="128" t="s">
        <v>34</v>
      </c>
      <c r="J18" s="126"/>
      <c r="K18" s="121"/>
    </row>
    <row r="19" spans="2:11" ht="19.5" customHeight="1">
      <c r="B19" s="116"/>
      <c r="C19" s="124" t="s">
        <v>62</v>
      </c>
      <c r="D19" s="125" t="s">
        <v>30</v>
      </c>
      <c r="E19" s="126"/>
      <c r="F19" s="126"/>
      <c r="G19" s="126"/>
      <c r="H19" s="127">
        <f>SUM(E14)</f>
        <v>1</v>
      </c>
      <c r="I19" s="128" t="s">
        <v>34</v>
      </c>
      <c r="J19" s="126"/>
      <c r="K19" s="121"/>
    </row>
    <row r="20" spans="2:11" ht="20.25" customHeight="1">
      <c r="B20" s="116"/>
      <c r="C20" s="124" t="s">
        <v>62</v>
      </c>
      <c r="D20" s="125" t="s">
        <v>31</v>
      </c>
      <c r="E20" s="126"/>
      <c r="F20" s="126"/>
      <c r="G20" s="126"/>
      <c r="H20" s="127">
        <f>SUM(F14)</f>
        <v>5.5</v>
      </c>
      <c r="I20" s="128" t="s">
        <v>34</v>
      </c>
      <c r="J20" s="126"/>
      <c r="K20" s="121"/>
    </row>
    <row r="21" spans="2:11" ht="19.5" customHeight="1">
      <c r="B21" s="116"/>
      <c r="C21" s="124" t="s">
        <v>62</v>
      </c>
      <c r="D21" s="125" t="s">
        <v>61</v>
      </c>
      <c r="E21" s="126"/>
      <c r="F21" s="126"/>
      <c r="G21" s="126"/>
      <c r="H21" s="127">
        <f>SUM(J7)</f>
        <v>7</v>
      </c>
      <c r="I21" s="128" t="s">
        <v>34</v>
      </c>
      <c r="J21" s="126"/>
      <c r="K21" s="121"/>
    </row>
    <row r="22" spans="2:11" ht="18.75" customHeight="1">
      <c r="B22" s="129"/>
      <c r="C22" s="124" t="s">
        <v>62</v>
      </c>
      <c r="D22" s="130" t="s">
        <v>67</v>
      </c>
      <c r="E22" s="131"/>
      <c r="F22" s="131"/>
      <c r="G22" s="131"/>
      <c r="H22" s="132">
        <f>ROUNDDOWN(J14,4)</f>
        <v>1.3038</v>
      </c>
      <c r="I22" s="128" t="s">
        <v>34</v>
      </c>
      <c r="J22" s="131"/>
      <c r="K22" s="129"/>
    </row>
    <row r="23" spans="2:11" ht="18" customHeight="1">
      <c r="B23" s="133"/>
      <c r="C23" s="131"/>
      <c r="D23" s="130"/>
      <c r="E23" s="131"/>
      <c r="F23" s="131"/>
      <c r="G23" s="131"/>
      <c r="H23" s="131"/>
      <c r="I23" s="131"/>
      <c r="J23" s="131"/>
      <c r="K23" s="129"/>
    </row>
    <row r="24" spans="2:11" ht="19.5" customHeight="1">
      <c r="B24" s="129"/>
      <c r="C24" s="129"/>
      <c r="D24" s="134"/>
      <c r="E24" s="129"/>
      <c r="F24" s="129"/>
      <c r="G24" s="129"/>
      <c r="H24" s="135"/>
      <c r="I24" s="129"/>
      <c r="J24" s="129"/>
      <c r="K24" s="129"/>
    </row>
    <row r="25" spans="2:11" ht="19.5" customHeight="1"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2:11" ht="20.25" customHeight="1"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2:11" ht="20.25" customHeigh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2:11" ht="20.25" customHeight="1"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2:11" ht="20.25" customHeigh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2:11" ht="20.25" customHeight="1"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2:11" ht="21" customHeigh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2:11" ht="21" customHeight="1">
      <c r="B32" s="129"/>
      <c r="C32" s="129"/>
      <c r="D32" s="129"/>
      <c r="E32" s="136"/>
      <c r="F32" s="129"/>
      <c r="G32" s="129"/>
      <c r="H32" s="129"/>
      <c r="I32" s="129"/>
      <c r="J32" s="129"/>
      <c r="K32" s="129"/>
    </row>
    <row r="33" spans="2:11" ht="21" customHeight="1"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2:11" ht="21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2:11" ht="21" customHeight="1"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2:11" ht="21" customHeight="1"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2:11" ht="21" customHeigh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2:11" ht="21" customHeigh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11" ht="21" customHeigh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2:11" ht="21" customHeight="1">
      <c r="B40" s="339" t="s">
        <v>32</v>
      </c>
      <c r="C40" s="339"/>
      <c r="D40" s="339"/>
      <c r="E40" s="339"/>
      <c r="F40" s="339"/>
      <c r="G40" s="339"/>
      <c r="H40" s="339"/>
      <c r="I40" s="339"/>
      <c r="J40" s="339"/>
      <c r="K40" s="339"/>
    </row>
    <row r="41" spans="2:11" ht="21">
      <c r="B41" s="133"/>
      <c r="C41" s="133" t="s">
        <v>33</v>
      </c>
      <c r="D41" s="133"/>
      <c r="E41" s="133">
        <f>SUM('[1]FACTOR F'!$D$5)</f>
        <v>0</v>
      </c>
      <c r="F41" s="137" t="s">
        <v>34</v>
      </c>
      <c r="G41" s="133" t="s">
        <v>35</v>
      </c>
      <c r="H41" s="138"/>
      <c r="I41" s="133"/>
      <c r="J41" s="133">
        <v>5</v>
      </c>
      <c r="K41" s="137" t="s">
        <v>36</v>
      </c>
    </row>
    <row r="42" spans="2:11" ht="21">
      <c r="B42" s="133"/>
      <c r="C42" s="133" t="s">
        <v>37</v>
      </c>
      <c r="D42" s="133"/>
      <c r="E42" s="133">
        <f>SUM('[1]FACTOR F'!$D$6)</f>
        <v>0</v>
      </c>
      <c r="F42" s="137" t="s">
        <v>34</v>
      </c>
      <c r="G42" s="139" t="s">
        <v>38</v>
      </c>
      <c r="H42" s="133"/>
      <c r="I42" s="133"/>
      <c r="J42" s="133">
        <f>SUM('[2]FACTOR F'!$I$6)</f>
        <v>7</v>
      </c>
      <c r="K42" s="140" t="s">
        <v>34</v>
      </c>
    </row>
    <row r="43" spans="2:11" ht="21">
      <c r="B43" s="315"/>
      <c r="C43" s="316"/>
      <c r="D43" s="315" t="s">
        <v>24</v>
      </c>
      <c r="E43" s="317"/>
      <c r="F43" s="317"/>
      <c r="G43" s="316"/>
      <c r="H43" s="141"/>
      <c r="I43" s="141"/>
      <c r="J43" s="318" t="s">
        <v>39</v>
      </c>
      <c r="K43" s="319"/>
    </row>
    <row r="44" spans="2:11" ht="21">
      <c r="B44" s="324" t="s">
        <v>40</v>
      </c>
      <c r="C44" s="325"/>
      <c r="D44" s="326" t="s">
        <v>34</v>
      </c>
      <c r="E44" s="327"/>
      <c r="F44" s="327"/>
      <c r="G44" s="328"/>
      <c r="H44" s="103" t="s">
        <v>41</v>
      </c>
      <c r="I44" s="103" t="s">
        <v>42</v>
      </c>
      <c r="J44" s="320"/>
      <c r="K44" s="321"/>
    </row>
    <row r="45" spans="2:11" ht="21">
      <c r="B45" s="324" t="s">
        <v>29</v>
      </c>
      <c r="C45" s="329"/>
      <c r="D45" s="101" t="s">
        <v>43</v>
      </c>
      <c r="E45" s="100" t="s">
        <v>43</v>
      </c>
      <c r="F45" s="101" t="s">
        <v>43</v>
      </c>
      <c r="G45" s="101" t="s">
        <v>8</v>
      </c>
      <c r="H45" s="103" t="s">
        <v>44</v>
      </c>
      <c r="I45" s="103" t="s">
        <v>45</v>
      </c>
      <c r="J45" s="320"/>
      <c r="K45" s="321"/>
    </row>
    <row r="46" spans="2:11" ht="21">
      <c r="B46" s="330"/>
      <c r="C46" s="331"/>
      <c r="D46" s="107" t="s">
        <v>46</v>
      </c>
      <c r="E46" s="108" t="s">
        <v>47</v>
      </c>
      <c r="F46" s="107" t="s">
        <v>48</v>
      </c>
      <c r="G46" s="107" t="s">
        <v>49</v>
      </c>
      <c r="H46" s="107"/>
      <c r="I46" s="109"/>
      <c r="J46" s="322"/>
      <c r="K46" s="323"/>
    </row>
    <row r="47" spans="2:11" ht="21">
      <c r="B47" s="142" t="s">
        <v>53</v>
      </c>
      <c r="C47" s="86">
        <v>0.5</v>
      </c>
      <c r="D47" s="143">
        <v>15.6878</v>
      </c>
      <c r="E47" s="121">
        <v>0.8333</v>
      </c>
      <c r="F47" s="144">
        <v>5.5</v>
      </c>
      <c r="G47" s="145">
        <f aca="true" t="shared" si="0" ref="G47:G70">(D47+E47+F47)</f>
        <v>22.0211</v>
      </c>
      <c r="H47" s="143">
        <f aca="true" t="shared" si="1" ref="H47:H70">1+(G47/100)</f>
        <v>1.220211</v>
      </c>
      <c r="I47" s="143">
        <f aca="true" t="shared" si="2" ref="I47:I70">1+($J$42/100)</f>
        <v>1.07</v>
      </c>
      <c r="J47" s="313">
        <f aca="true" t="shared" si="3" ref="J47:J70">(H47*I47)</f>
        <v>1.30562577</v>
      </c>
      <c r="K47" s="314"/>
    </row>
    <row r="48" spans="2:11" ht="21">
      <c r="B48" s="146"/>
      <c r="C48" s="116">
        <v>1</v>
      </c>
      <c r="D48" s="143">
        <v>15.4672</v>
      </c>
      <c r="E48" s="121">
        <v>0.8333</v>
      </c>
      <c r="F48" s="144">
        <v>5.5</v>
      </c>
      <c r="G48" s="145">
        <f t="shared" si="0"/>
        <v>21.8005</v>
      </c>
      <c r="H48" s="147">
        <f t="shared" si="1"/>
        <v>1.218005</v>
      </c>
      <c r="I48" s="147">
        <f t="shared" si="2"/>
        <v>1.07</v>
      </c>
      <c r="J48" s="309">
        <f t="shared" si="3"/>
        <v>1.30326535</v>
      </c>
      <c r="K48" s="310"/>
    </row>
    <row r="49" spans="2:11" ht="21">
      <c r="B49" s="146"/>
      <c r="C49" s="116">
        <v>2</v>
      </c>
      <c r="D49" s="143">
        <v>15.3236</v>
      </c>
      <c r="E49" s="121">
        <v>0.8333</v>
      </c>
      <c r="F49" s="144">
        <v>5.5</v>
      </c>
      <c r="G49" s="145">
        <f t="shared" si="0"/>
        <v>21.6569</v>
      </c>
      <c r="H49" s="147">
        <f t="shared" si="1"/>
        <v>1.216569</v>
      </c>
      <c r="I49" s="147">
        <f t="shared" si="2"/>
        <v>1.07</v>
      </c>
      <c r="J49" s="309">
        <f t="shared" si="3"/>
        <v>1.30172883</v>
      </c>
      <c r="K49" s="310"/>
    </row>
    <row r="50" spans="2:11" ht="21">
      <c r="B50" s="146"/>
      <c r="C50" s="116">
        <v>5</v>
      </c>
      <c r="D50" s="143">
        <v>15.0257</v>
      </c>
      <c r="E50" s="121">
        <v>0.8333</v>
      </c>
      <c r="F50" s="144">
        <v>5.5</v>
      </c>
      <c r="G50" s="145">
        <f t="shared" si="0"/>
        <v>21.359</v>
      </c>
      <c r="H50" s="147">
        <f t="shared" si="1"/>
        <v>1.21359</v>
      </c>
      <c r="I50" s="147">
        <f t="shared" si="2"/>
        <v>1.07</v>
      </c>
      <c r="J50" s="309">
        <f t="shared" si="3"/>
        <v>1.2985413000000001</v>
      </c>
      <c r="K50" s="310"/>
    </row>
    <row r="51" spans="2:11" ht="21">
      <c r="B51" s="146"/>
      <c r="C51" s="116">
        <v>10</v>
      </c>
      <c r="D51" s="143">
        <v>14.9669</v>
      </c>
      <c r="E51" s="121">
        <v>0.8333</v>
      </c>
      <c r="F51" s="144">
        <f>'[1]ดอกเบี้ย,กำไร'!G52</f>
        <v>5</v>
      </c>
      <c r="G51" s="145">
        <f t="shared" si="0"/>
        <v>20.8002</v>
      </c>
      <c r="H51" s="147">
        <f t="shared" si="1"/>
        <v>1.208002</v>
      </c>
      <c r="I51" s="147">
        <f t="shared" si="2"/>
        <v>1.07</v>
      </c>
      <c r="J51" s="309">
        <f t="shared" si="3"/>
        <v>1.29256214</v>
      </c>
      <c r="K51" s="310"/>
    </row>
    <row r="52" spans="2:11" ht="21">
      <c r="B52" s="146"/>
      <c r="C52" s="116">
        <v>15</v>
      </c>
      <c r="D52" s="143">
        <v>11.7015</v>
      </c>
      <c r="E52" s="121">
        <v>0.8333</v>
      </c>
      <c r="F52" s="144">
        <f>'[1]ดอกเบี้ย,กำไร'!G53</f>
        <v>5</v>
      </c>
      <c r="G52" s="145">
        <f t="shared" si="0"/>
        <v>17.534799999999997</v>
      </c>
      <c r="H52" s="147">
        <f t="shared" si="1"/>
        <v>1.175348</v>
      </c>
      <c r="I52" s="147">
        <f t="shared" si="2"/>
        <v>1.07</v>
      </c>
      <c r="J52" s="309">
        <f t="shared" si="3"/>
        <v>1.25762236</v>
      </c>
      <c r="K52" s="310"/>
    </row>
    <row r="53" spans="2:11" ht="21">
      <c r="B53" s="146"/>
      <c r="C53" s="116">
        <v>20</v>
      </c>
      <c r="D53" s="143">
        <v>10.99</v>
      </c>
      <c r="E53" s="121">
        <v>0.8333</v>
      </c>
      <c r="F53" s="144">
        <f>'[1]ดอกเบี้ย,กำไร'!G54</f>
        <v>5</v>
      </c>
      <c r="G53" s="145">
        <f t="shared" si="0"/>
        <v>16.8233</v>
      </c>
      <c r="H53" s="147">
        <f t="shared" si="1"/>
        <v>1.168233</v>
      </c>
      <c r="I53" s="147">
        <f t="shared" si="2"/>
        <v>1.07</v>
      </c>
      <c r="J53" s="309">
        <f t="shared" si="3"/>
        <v>1.2500093100000003</v>
      </c>
      <c r="K53" s="310"/>
    </row>
    <row r="54" spans="2:26" ht="21" customHeight="1">
      <c r="B54" s="146"/>
      <c r="C54" s="116">
        <v>25</v>
      </c>
      <c r="D54" s="143">
        <v>8.9691</v>
      </c>
      <c r="E54" s="121">
        <v>0.8333</v>
      </c>
      <c r="F54" s="144">
        <f>'[1]ดอกเบี้ย,กำไร'!G55</f>
        <v>4.5</v>
      </c>
      <c r="G54" s="145">
        <f t="shared" si="0"/>
        <v>14.302399999999999</v>
      </c>
      <c r="H54" s="147">
        <f t="shared" si="1"/>
        <v>1.143024</v>
      </c>
      <c r="I54" s="147">
        <f t="shared" si="2"/>
        <v>1.07</v>
      </c>
      <c r="J54" s="309">
        <f t="shared" si="3"/>
        <v>1.2230356800000002</v>
      </c>
      <c r="K54" s="310"/>
      <c r="Z54" s="119"/>
    </row>
    <row r="55" spans="2:26" ht="21" customHeight="1">
      <c r="B55" s="146"/>
      <c r="C55" s="116">
        <v>30</v>
      </c>
      <c r="D55" s="143">
        <v>8.1867</v>
      </c>
      <c r="E55" s="121">
        <v>0.8333</v>
      </c>
      <c r="F55" s="144">
        <f>'[1]ดอกเบี้ย,กำไร'!G56</f>
        <v>4.5</v>
      </c>
      <c r="G55" s="145">
        <f t="shared" si="0"/>
        <v>13.52</v>
      </c>
      <c r="H55" s="147">
        <f t="shared" si="1"/>
        <v>1.1352</v>
      </c>
      <c r="I55" s="147">
        <f t="shared" si="2"/>
        <v>1.07</v>
      </c>
      <c r="J55" s="309">
        <f t="shared" si="3"/>
        <v>1.214664</v>
      </c>
      <c r="K55" s="310"/>
      <c r="Z55" s="119"/>
    </row>
    <row r="56" spans="2:11" ht="21" customHeight="1">
      <c r="B56" s="146"/>
      <c r="C56" s="116">
        <f aca="true" t="shared" si="4" ref="C56:C62">C55+10</f>
        <v>40</v>
      </c>
      <c r="D56" s="143">
        <v>8.1502</v>
      </c>
      <c r="E56" s="121">
        <v>0.8333</v>
      </c>
      <c r="F56" s="144">
        <f>'[1]ดอกเบี้ย,กำไร'!G57</f>
        <v>4.5</v>
      </c>
      <c r="G56" s="145">
        <f t="shared" si="0"/>
        <v>13.4835</v>
      </c>
      <c r="H56" s="147">
        <f t="shared" si="1"/>
        <v>1.134835</v>
      </c>
      <c r="I56" s="147">
        <f t="shared" si="2"/>
        <v>1.07</v>
      </c>
      <c r="J56" s="309">
        <f t="shared" si="3"/>
        <v>1.21427345</v>
      </c>
      <c r="K56" s="310"/>
    </row>
    <row r="57" spans="2:11" ht="21" customHeight="1">
      <c r="B57" s="146"/>
      <c r="C57" s="116">
        <f t="shared" si="4"/>
        <v>50</v>
      </c>
      <c r="D57" s="143">
        <v>8.1389</v>
      </c>
      <c r="E57" s="121">
        <v>0.8333</v>
      </c>
      <c r="F57" s="144">
        <f>'[1]ดอกเบี้ย,กำไร'!G58</f>
        <v>4.5</v>
      </c>
      <c r="G57" s="145">
        <f t="shared" si="0"/>
        <v>13.472199999999999</v>
      </c>
      <c r="H57" s="147">
        <f t="shared" si="1"/>
        <v>1.134722</v>
      </c>
      <c r="I57" s="147">
        <f t="shared" si="2"/>
        <v>1.07</v>
      </c>
      <c r="J57" s="309">
        <f t="shared" si="3"/>
        <v>1.2141525400000002</v>
      </c>
      <c r="K57" s="310"/>
    </row>
    <row r="58" spans="2:11" ht="21" customHeight="1">
      <c r="B58" s="146"/>
      <c r="C58" s="116">
        <f t="shared" si="4"/>
        <v>60</v>
      </c>
      <c r="D58" s="143">
        <v>7.7222</v>
      </c>
      <c r="E58" s="121">
        <v>0.8333</v>
      </c>
      <c r="F58" s="144">
        <f>'[1]ดอกเบี้ย,กำไร'!G59</f>
        <v>4</v>
      </c>
      <c r="G58" s="145">
        <f t="shared" si="0"/>
        <v>12.5555</v>
      </c>
      <c r="H58" s="147">
        <f t="shared" si="1"/>
        <v>1.125555</v>
      </c>
      <c r="I58" s="147">
        <f t="shared" si="2"/>
        <v>1.07</v>
      </c>
      <c r="J58" s="309">
        <f t="shared" si="3"/>
        <v>1.20434385</v>
      </c>
      <c r="K58" s="310"/>
    </row>
    <row r="59" spans="2:11" ht="21" customHeight="1">
      <c r="B59" s="146"/>
      <c r="C59" s="116">
        <f t="shared" si="4"/>
        <v>70</v>
      </c>
      <c r="D59" s="143">
        <v>7.6191</v>
      </c>
      <c r="E59" s="121">
        <v>0.8333</v>
      </c>
      <c r="F59" s="144">
        <f>'[1]ดอกเบี้ย,กำไร'!G60</f>
        <v>4</v>
      </c>
      <c r="G59" s="145">
        <f t="shared" si="0"/>
        <v>12.4524</v>
      </c>
      <c r="H59" s="147">
        <f t="shared" si="1"/>
        <v>1.124524</v>
      </c>
      <c r="I59" s="147">
        <f t="shared" si="2"/>
        <v>1.07</v>
      </c>
      <c r="J59" s="309">
        <f t="shared" si="3"/>
        <v>1.2032406800000002</v>
      </c>
      <c r="K59" s="310"/>
    </row>
    <row r="60" spans="2:11" ht="21.75" customHeight="1">
      <c r="B60" s="146"/>
      <c r="C60" s="116">
        <f t="shared" si="4"/>
        <v>80</v>
      </c>
      <c r="D60" s="143">
        <v>7.6191</v>
      </c>
      <c r="E60" s="121">
        <v>0.8333</v>
      </c>
      <c r="F60" s="144">
        <f>'[1]ดอกเบี้ย,กำไร'!G61</f>
        <v>4</v>
      </c>
      <c r="G60" s="145">
        <f t="shared" si="0"/>
        <v>12.4524</v>
      </c>
      <c r="H60" s="147">
        <f t="shared" si="1"/>
        <v>1.124524</v>
      </c>
      <c r="I60" s="147">
        <f t="shared" si="2"/>
        <v>1.07</v>
      </c>
      <c r="J60" s="309">
        <f t="shared" si="3"/>
        <v>1.2032406800000002</v>
      </c>
      <c r="K60" s="310"/>
    </row>
    <row r="61" spans="2:11" ht="21.75" customHeight="1">
      <c r="B61" s="146"/>
      <c r="C61" s="116">
        <f t="shared" si="4"/>
        <v>90</v>
      </c>
      <c r="D61" s="143">
        <v>7.6108</v>
      </c>
      <c r="E61" s="121">
        <v>0.8333</v>
      </c>
      <c r="F61" s="144">
        <f>'[1]ดอกเบี้ย,กำไร'!G62</f>
        <v>4</v>
      </c>
      <c r="G61" s="145">
        <f t="shared" si="0"/>
        <v>12.4441</v>
      </c>
      <c r="H61" s="147">
        <f t="shared" si="1"/>
        <v>1.124441</v>
      </c>
      <c r="I61" s="147">
        <f t="shared" si="2"/>
        <v>1.07</v>
      </c>
      <c r="J61" s="309">
        <f t="shared" si="3"/>
        <v>1.2031518700000001</v>
      </c>
      <c r="K61" s="310"/>
    </row>
    <row r="62" spans="2:11" ht="21.75" customHeight="1">
      <c r="B62" s="146"/>
      <c r="C62" s="116">
        <f t="shared" si="4"/>
        <v>100</v>
      </c>
      <c r="D62" s="143">
        <v>7.6108</v>
      </c>
      <c r="E62" s="121">
        <v>0.8333</v>
      </c>
      <c r="F62" s="144">
        <f>'[1]ดอกเบี้ย,กำไร'!G63</f>
        <v>4</v>
      </c>
      <c r="G62" s="145">
        <f t="shared" si="0"/>
        <v>12.4441</v>
      </c>
      <c r="H62" s="147">
        <f t="shared" si="1"/>
        <v>1.124441</v>
      </c>
      <c r="I62" s="147">
        <f t="shared" si="2"/>
        <v>1.07</v>
      </c>
      <c r="J62" s="309">
        <f t="shared" si="3"/>
        <v>1.2031518700000001</v>
      </c>
      <c r="K62" s="310"/>
    </row>
    <row r="63" spans="2:11" ht="21.75" customHeight="1">
      <c r="B63" s="146"/>
      <c r="C63" s="116">
        <v>150</v>
      </c>
      <c r="D63" s="143">
        <v>7.3615</v>
      </c>
      <c r="E63" s="121">
        <v>0.8333</v>
      </c>
      <c r="F63" s="144">
        <f>'[1]ดอกเบี้ย,กำไร'!G64</f>
        <v>4</v>
      </c>
      <c r="G63" s="145">
        <f t="shared" si="0"/>
        <v>12.1948</v>
      </c>
      <c r="H63" s="147">
        <f t="shared" si="1"/>
        <v>1.121948</v>
      </c>
      <c r="I63" s="147">
        <f t="shared" si="2"/>
        <v>1.07</v>
      </c>
      <c r="J63" s="309">
        <f t="shared" si="3"/>
        <v>1.20048436</v>
      </c>
      <c r="K63" s="310"/>
    </row>
    <row r="64" spans="2:11" ht="21.75" customHeight="1">
      <c r="B64" s="146"/>
      <c r="C64" s="116">
        <v>200</v>
      </c>
      <c r="D64" s="143">
        <v>7.3632</v>
      </c>
      <c r="E64" s="121">
        <v>0.8333</v>
      </c>
      <c r="F64" s="144">
        <f>'[1]ดอกเบี้ย,กำไร'!G65</f>
        <v>4</v>
      </c>
      <c r="G64" s="145">
        <f t="shared" si="0"/>
        <v>12.1965</v>
      </c>
      <c r="H64" s="147">
        <f t="shared" si="1"/>
        <v>1.121965</v>
      </c>
      <c r="I64" s="147">
        <f t="shared" si="2"/>
        <v>1.07</v>
      </c>
      <c r="J64" s="309">
        <f t="shared" si="3"/>
        <v>1.2005025500000002</v>
      </c>
      <c r="K64" s="310"/>
    </row>
    <row r="65" spans="2:11" ht="21">
      <c r="B65" s="146"/>
      <c r="C65" s="116">
        <v>250</v>
      </c>
      <c r="D65" s="143">
        <v>7.2751</v>
      </c>
      <c r="E65" s="121">
        <v>0.8333</v>
      </c>
      <c r="F65" s="144">
        <f>'[1]ดอกเบี้ย,กำไร'!G66</f>
        <v>4</v>
      </c>
      <c r="G65" s="145">
        <f t="shared" si="0"/>
        <v>12.1084</v>
      </c>
      <c r="H65" s="147">
        <f t="shared" si="1"/>
        <v>1.121084</v>
      </c>
      <c r="I65" s="147">
        <f t="shared" si="2"/>
        <v>1.07</v>
      </c>
      <c r="J65" s="309">
        <f t="shared" si="3"/>
        <v>1.19955988</v>
      </c>
      <c r="K65" s="310"/>
    </row>
    <row r="66" spans="2:11" ht="21">
      <c r="B66" s="146"/>
      <c r="C66" s="116">
        <v>300</v>
      </c>
      <c r="D66" s="143">
        <v>7.1959</v>
      </c>
      <c r="E66" s="121">
        <v>0.8333</v>
      </c>
      <c r="F66" s="144">
        <f>'[1]ดอกเบี้ย,กำไร'!G67</f>
        <v>3.5</v>
      </c>
      <c r="G66" s="145">
        <f t="shared" si="0"/>
        <v>11.5292</v>
      </c>
      <c r="H66" s="147">
        <f t="shared" si="1"/>
        <v>1.115292</v>
      </c>
      <c r="I66" s="147">
        <f t="shared" si="2"/>
        <v>1.07</v>
      </c>
      <c r="J66" s="309">
        <f t="shared" si="3"/>
        <v>1.19336244</v>
      </c>
      <c r="K66" s="310"/>
    </row>
    <row r="67" spans="2:11" ht="21">
      <c r="B67" s="146"/>
      <c r="C67" s="116">
        <v>350</v>
      </c>
      <c r="D67" s="143">
        <v>6.3974</v>
      </c>
      <c r="E67" s="121">
        <v>0.8333</v>
      </c>
      <c r="F67" s="144">
        <f>'[1]ดอกเบี้ย,กำไร'!G68</f>
        <v>3.5</v>
      </c>
      <c r="G67" s="145">
        <f t="shared" si="0"/>
        <v>10.7307</v>
      </c>
      <c r="H67" s="147">
        <f t="shared" si="1"/>
        <v>1.107307</v>
      </c>
      <c r="I67" s="147">
        <f t="shared" si="2"/>
        <v>1.07</v>
      </c>
      <c r="J67" s="309">
        <f t="shared" si="3"/>
        <v>1.18481849</v>
      </c>
      <c r="K67" s="310"/>
    </row>
    <row r="68" spans="2:11" ht="21">
      <c r="B68" s="146"/>
      <c r="C68" s="116">
        <v>400</v>
      </c>
      <c r="D68" s="143">
        <v>6.322</v>
      </c>
      <c r="E68" s="121">
        <v>0.8333</v>
      </c>
      <c r="F68" s="144">
        <f>'[1]ดอกเบี้ย,กำไร'!G69</f>
        <v>3.5</v>
      </c>
      <c r="G68" s="145">
        <f t="shared" si="0"/>
        <v>10.6553</v>
      </c>
      <c r="H68" s="147">
        <f t="shared" si="1"/>
        <v>1.106553</v>
      </c>
      <c r="I68" s="147">
        <f t="shared" si="2"/>
        <v>1.07</v>
      </c>
      <c r="J68" s="309">
        <f t="shared" si="3"/>
        <v>1.18401171</v>
      </c>
      <c r="K68" s="310"/>
    </row>
    <row r="69" spans="2:11" ht="21">
      <c r="B69" s="146"/>
      <c r="C69" s="116">
        <v>500</v>
      </c>
      <c r="D69" s="143">
        <v>6.2743</v>
      </c>
      <c r="E69" s="121">
        <v>0.8333</v>
      </c>
      <c r="F69" s="144">
        <f>'[1]ดอกเบี้ย,กำไร'!G70</f>
        <v>3.5</v>
      </c>
      <c r="G69" s="145">
        <f t="shared" si="0"/>
        <v>10.607600000000001</v>
      </c>
      <c r="H69" s="147">
        <f t="shared" si="1"/>
        <v>1.106076</v>
      </c>
      <c r="I69" s="147">
        <f t="shared" si="2"/>
        <v>1.07</v>
      </c>
      <c r="J69" s="309">
        <f t="shared" si="3"/>
        <v>1.1835013200000002</v>
      </c>
      <c r="K69" s="310"/>
    </row>
    <row r="70" spans="2:11" ht="21">
      <c r="B70" s="148" t="s">
        <v>54</v>
      </c>
      <c r="C70" s="149">
        <v>500</v>
      </c>
      <c r="D70" s="111">
        <v>5.6692</v>
      </c>
      <c r="E70" s="121">
        <v>0.8333</v>
      </c>
      <c r="F70" s="150">
        <f>'[1]ดอกเบี้ย,กำไร'!G71</f>
        <v>3.5</v>
      </c>
      <c r="G70" s="111">
        <f t="shared" si="0"/>
        <v>10.002500000000001</v>
      </c>
      <c r="H70" s="151">
        <f t="shared" si="1"/>
        <v>1.100025</v>
      </c>
      <c r="I70" s="151">
        <f t="shared" si="2"/>
        <v>1.07</v>
      </c>
      <c r="J70" s="311">
        <f t="shared" si="3"/>
        <v>1.17702675</v>
      </c>
      <c r="K70" s="312"/>
    </row>
    <row r="71" spans="2:11" ht="21">
      <c r="B71" s="307" t="s">
        <v>9</v>
      </c>
      <c r="C71" s="307"/>
      <c r="D71" s="134" t="s">
        <v>55</v>
      </c>
      <c r="E71" s="152"/>
      <c r="F71" s="152"/>
      <c r="G71" s="152"/>
      <c r="H71" s="152"/>
      <c r="I71" s="152"/>
      <c r="J71" s="153"/>
      <c r="K71" s="152"/>
    </row>
    <row r="72" spans="2:11" ht="21">
      <c r="B72" s="129"/>
      <c r="C72" s="129"/>
      <c r="D72" s="154" t="s">
        <v>56</v>
      </c>
      <c r="E72" s="155"/>
      <c r="F72" s="155"/>
      <c r="G72" s="155"/>
      <c r="H72" s="155"/>
      <c r="I72" s="155"/>
      <c r="J72" s="155"/>
      <c r="K72" s="155"/>
    </row>
    <row r="73" spans="2:11" ht="21">
      <c r="B73" s="129"/>
      <c r="C73" s="155"/>
      <c r="D73" s="155"/>
      <c r="E73" s="155"/>
      <c r="F73" s="155"/>
      <c r="G73" s="155"/>
      <c r="H73" s="155"/>
      <c r="I73" s="155"/>
      <c r="J73" s="155"/>
      <c r="K73" s="155"/>
    </row>
    <row r="74" spans="2:11" ht="21">
      <c r="B74" s="116"/>
      <c r="C74" s="156"/>
      <c r="D74" s="121"/>
      <c r="E74" s="121"/>
      <c r="F74" s="121"/>
      <c r="G74" s="121"/>
      <c r="H74" s="121"/>
      <c r="I74" s="121"/>
      <c r="J74" s="308" t="s">
        <v>80</v>
      </c>
      <c r="K74" s="308"/>
    </row>
    <row r="110" spans="2:11" ht="21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</row>
    <row r="111" spans="2:11" ht="21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</row>
    <row r="112" spans="2:11" ht="21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spans="2:11" ht="21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2:11" ht="21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</sheetData>
  <sheetProtection selectLockedCells="1" selectUnlockedCells="1"/>
  <mergeCells count="49">
    <mergeCell ref="B1:K1"/>
    <mergeCell ref="B2:K2"/>
    <mergeCell ref="B3:K3"/>
    <mergeCell ref="B5:D5"/>
    <mergeCell ref="B8:C8"/>
    <mergeCell ref="D8:G8"/>
    <mergeCell ref="J8:K11"/>
    <mergeCell ref="B9:C9"/>
    <mergeCell ref="D9:G9"/>
    <mergeCell ref="B10:C10"/>
    <mergeCell ref="B11:C11"/>
    <mergeCell ref="J12:K12"/>
    <mergeCell ref="J13:K13"/>
    <mergeCell ref="J14:K14"/>
    <mergeCell ref="J16:K16"/>
    <mergeCell ref="B40:K40"/>
    <mergeCell ref="B43:C43"/>
    <mergeCell ref="D43:G43"/>
    <mergeCell ref="J43:K46"/>
    <mergeCell ref="B44:C44"/>
    <mergeCell ref="D44:G44"/>
    <mergeCell ref="B45:C45"/>
    <mergeCell ref="B46:C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B71:C71"/>
    <mergeCell ref="J74:K74"/>
    <mergeCell ref="J65:K65"/>
    <mergeCell ref="J66:K66"/>
    <mergeCell ref="J67:K67"/>
    <mergeCell ref="J68:K68"/>
    <mergeCell ref="J69:K69"/>
    <mergeCell ref="J70:K70"/>
  </mergeCells>
  <printOptions/>
  <pageMargins left="0.51" right="0.18" top="0.71" bottom="0.79" header="0.1968503937007874" footer="0.44"/>
  <pageSetup horizontalDpi="300" verticalDpi="300" orientation="portrait" paperSize="9" r:id="rId1"/>
  <headerFooter alignWithMargins="0">
    <oddHeader>&amp;L&amp;"DilleniaUPC,ธรรมดา"ตารางคำนวณค่า FACTOR F&amp;R&amp;"DilleniaUPC,ธรรมดา"หน้าที่ :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B28" sqref="B28"/>
    </sheetView>
  </sheetViews>
  <sheetFormatPr defaultColWidth="9.140625" defaultRowHeight="21.75"/>
  <cols>
    <col min="2" max="2" width="45.421875" style="0" customWidth="1"/>
    <col min="3" max="3" width="20.00390625" style="0" customWidth="1"/>
    <col min="4" max="4" width="18.421875" style="0" customWidth="1"/>
    <col min="5" max="5" width="16.421875" style="0" customWidth="1"/>
    <col min="8" max="8" width="12.57421875" style="0" bestFit="1" customWidth="1"/>
    <col min="9" max="9" width="11.140625" style="0" bestFit="1" customWidth="1"/>
    <col min="10" max="11" width="12.57421875" style="0" bestFit="1" customWidth="1"/>
  </cols>
  <sheetData>
    <row r="1" spans="1:5" ht="24">
      <c r="A1" s="346" t="str">
        <f>สรุป!A2</f>
        <v>ปรับปรุงอาคารเรียนอาคารพลังงาน</v>
      </c>
      <c r="B1" s="346"/>
      <c r="C1" s="346"/>
      <c r="D1" s="346"/>
      <c r="E1" s="346"/>
    </row>
    <row r="2" spans="1:5" ht="24">
      <c r="A2" s="346" t="str">
        <f>สรุป!A3</f>
        <v>มหาวิทยาลัยราชภัฏอุตรดิตถ์ ทุ่งกะโล่</v>
      </c>
      <c r="B2" s="346"/>
      <c r="C2" s="346"/>
      <c r="D2" s="346"/>
      <c r="E2" s="346"/>
    </row>
    <row r="3" spans="1:5" ht="22.5">
      <c r="A3" s="225" t="s">
        <v>139</v>
      </c>
      <c r="B3" s="225"/>
      <c r="C3" s="348">
        <f>สรุป!F17</f>
        <v>2425000</v>
      </c>
      <c r="D3" s="349"/>
      <c r="E3" s="202" t="s">
        <v>10</v>
      </c>
    </row>
    <row r="4" spans="1:5" ht="22.5">
      <c r="A4" s="347" t="s">
        <v>131</v>
      </c>
      <c r="B4" s="347"/>
      <c r="C4" s="347"/>
      <c r="D4" s="347"/>
      <c r="E4" s="202"/>
    </row>
    <row r="5" spans="1:5" ht="24">
      <c r="A5" s="203" t="s">
        <v>140</v>
      </c>
      <c r="B5" s="203"/>
      <c r="C5" s="350"/>
      <c r="D5" s="350"/>
      <c r="E5" s="350"/>
    </row>
    <row r="6" spans="1:5" ht="24">
      <c r="A6" s="350" t="s">
        <v>141</v>
      </c>
      <c r="B6" s="350"/>
      <c r="C6" s="350"/>
      <c r="D6" s="350"/>
      <c r="E6" s="350"/>
    </row>
    <row r="7" spans="1:5" ht="24">
      <c r="A7" s="350" t="s">
        <v>142</v>
      </c>
      <c r="B7" s="350"/>
      <c r="C7" s="350"/>
      <c r="D7" s="350"/>
      <c r="E7" s="350"/>
    </row>
    <row r="8" spans="1:5" ht="24">
      <c r="A8" s="350" t="s">
        <v>143</v>
      </c>
      <c r="B8" s="350"/>
      <c r="C8" s="350"/>
      <c r="D8" s="350"/>
      <c r="E8" s="350"/>
    </row>
    <row r="9" spans="1:5" ht="24">
      <c r="A9" s="350" t="s">
        <v>144</v>
      </c>
      <c r="B9" s="350"/>
      <c r="C9" s="350"/>
      <c r="D9" s="350"/>
      <c r="E9" s="350"/>
    </row>
    <row r="10" spans="1:5" ht="24">
      <c r="A10" s="350" t="s">
        <v>145</v>
      </c>
      <c r="B10" s="350"/>
      <c r="C10" s="350"/>
      <c r="D10" s="350"/>
      <c r="E10" s="350"/>
    </row>
    <row r="11" spans="1:5" ht="24">
      <c r="A11" s="350" t="s">
        <v>146</v>
      </c>
      <c r="B11" s="350"/>
      <c r="C11" s="350"/>
      <c r="D11" s="350"/>
      <c r="E11" s="350"/>
    </row>
    <row r="12" spans="1:5" ht="24">
      <c r="A12" s="350" t="s">
        <v>156</v>
      </c>
      <c r="B12" s="350"/>
      <c r="C12" s="350"/>
      <c r="D12" s="350"/>
      <c r="E12" s="350"/>
    </row>
    <row r="13" spans="1:5" ht="24">
      <c r="A13" s="350" t="s">
        <v>147</v>
      </c>
      <c r="B13" s="350"/>
      <c r="C13" s="350"/>
      <c r="D13" s="350"/>
      <c r="E13" s="350"/>
    </row>
    <row r="14" spans="1:5" ht="24">
      <c r="A14" s="203" t="s">
        <v>148</v>
      </c>
      <c r="B14" s="203"/>
      <c r="C14" s="203"/>
      <c r="D14" s="203"/>
      <c r="E14" s="204"/>
    </row>
    <row r="15" spans="1:5" ht="22.5">
      <c r="A15" s="205"/>
      <c r="B15" s="205"/>
      <c r="C15" s="206"/>
      <c r="D15" s="205"/>
      <c r="E15" s="202"/>
    </row>
    <row r="16" spans="1:5" ht="45">
      <c r="A16" s="207" t="s">
        <v>132</v>
      </c>
      <c r="B16" s="207" t="s">
        <v>133</v>
      </c>
      <c r="C16" s="208" t="s">
        <v>134</v>
      </c>
      <c r="D16" s="208" t="s">
        <v>135</v>
      </c>
      <c r="E16" s="208" t="s">
        <v>136</v>
      </c>
    </row>
    <row r="17" spans="1:9" ht="22.5">
      <c r="A17" s="209">
        <v>1</v>
      </c>
      <c r="B17" s="210" t="s">
        <v>137</v>
      </c>
      <c r="C17" s="211">
        <v>950000</v>
      </c>
      <c r="D17" s="231">
        <v>0.4</v>
      </c>
      <c r="E17" s="212">
        <v>50</v>
      </c>
      <c r="I17" s="228"/>
    </row>
    <row r="18" spans="1:11" ht="22.5">
      <c r="A18" s="233">
        <v>1</v>
      </c>
      <c r="B18" s="214" t="s">
        <v>163</v>
      </c>
      <c r="C18" s="215"/>
      <c r="D18" s="216"/>
      <c r="E18" s="226"/>
      <c r="I18" s="229"/>
      <c r="K18" s="229"/>
    </row>
    <row r="19" spans="1:5" ht="22.5" customHeight="1">
      <c r="A19" s="213">
        <v>2</v>
      </c>
      <c r="B19" s="214" t="s">
        <v>152</v>
      </c>
      <c r="C19" s="217"/>
      <c r="D19" s="218"/>
      <c r="E19" s="227"/>
    </row>
    <row r="20" spans="1:10" ht="22.5" customHeight="1">
      <c r="A20" s="230">
        <v>3</v>
      </c>
      <c r="B20" s="232" t="s">
        <v>153</v>
      </c>
      <c r="C20" s="217"/>
      <c r="D20" s="218"/>
      <c r="E20" s="227"/>
      <c r="H20" s="229"/>
      <c r="J20" s="229">
        <f>J22-C17</f>
        <v>1475000</v>
      </c>
    </row>
    <row r="21" spans="1:5" ht="22.5" customHeight="1">
      <c r="A21" s="230">
        <v>4</v>
      </c>
      <c r="B21" s="236" t="s">
        <v>154</v>
      </c>
      <c r="C21" s="217"/>
      <c r="D21" s="218"/>
      <c r="E21" s="227"/>
    </row>
    <row r="22" spans="1:11" ht="22.5" customHeight="1">
      <c r="A22" s="230">
        <v>5</v>
      </c>
      <c r="B22" s="232" t="s">
        <v>161</v>
      </c>
      <c r="C22" s="217"/>
      <c r="D22" s="218"/>
      <c r="E22" s="227"/>
      <c r="H22" s="229"/>
      <c r="J22">
        <v>2425000</v>
      </c>
      <c r="K22" s="229"/>
    </row>
    <row r="23" spans="1:11" ht="22.5" customHeight="1">
      <c r="A23" s="230"/>
      <c r="B23" s="232" t="s">
        <v>162</v>
      </c>
      <c r="C23" s="217"/>
      <c r="D23" s="218"/>
      <c r="E23" s="227"/>
      <c r="H23" s="229"/>
      <c r="K23" s="229"/>
    </row>
    <row r="24" spans="1:5" ht="22.5" customHeight="1">
      <c r="A24" s="230">
        <v>6</v>
      </c>
      <c r="B24" s="232" t="s">
        <v>157</v>
      </c>
      <c r="C24" s="217"/>
      <c r="D24" s="218"/>
      <c r="E24" s="227"/>
    </row>
    <row r="25" spans="1:5" ht="22.5">
      <c r="A25" s="219">
        <v>2</v>
      </c>
      <c r="B25" s="220" t="s">
        <v>138</v>
      </c>
      <c r="C25" s="211">
        <v>1475000</v>
      </c>
      <c r="D25" s="231">
        <v>0.6</v>
      </c>
      <c r="E25" s="212">
        <v>70</v>
      </c>
    </row>
    <row r="26" spans="1:5" ht="22.5" customHeight="1">
      <c r="A26" s="213">
        <v>2.01</v>
      </c>
      <c r="B26" s="214" t="s">
        <v>158</v>
      </c>
      <c r="C26" s="215" t="s">
        <v>149</v>
      </c>
      <c r="D26" s="216"/>
      <c r="E26" s="226"/>
    </row>
    <row r="27" spans="1:5" ht="22.5" customHeight="1">
      <c r="A27" s="213">
        <v>2.02</v>
      </c>
      <c r="B27" s="214" t="s">
        <v>159</v>
      </c>
      <c r="C27" s="215"/>
      <c r="D27" s="218"/>
      <c r="E27" s="227"/>
    </row>
    <row r="28" spans="1:5" ht="22.5" customHeight="1">
      <c r="A28" s="213">
        <v>2.03</v>
      </c>
      <c r="B28" s="214" t="s">
        <v>160</v>
      </c>
      <c r="C28" s="215"/>
      <c r="D28" s="218"/>
      <c r="E28" s="227"/>
    </row>
    <row r="29" spans="1:5" ht="22.5" customHeight="1">
      <c r="A29" s="213"/>
      <c r="B29" s="214" t="s">
        <v>155</v>
      </c>
      <c r="C29" s="215"/>
      <c r="D29" s="218"/>
      <c r="E29" s="227"/>
    </row>
    <row r="30" spans="1:5" ht="23.25" thickBot="1">
      <c r="A30" s="221"/>
      <c r="B30" s="221"/>
      <c r="C30" s="222">
        <f>C25+C17</f>
        <v>2425000</v>
      </c>
      <c r="D30" s="223">
        <f>D17+D25</f>
        <v>1</v>
      </c>
      <c r="E30" s="224">
        <f>E17+E25</f>
        <v>120</v>
      </c>
    </row>
    <row r="31" ht="21" thickTop="1"/>
  </sheetData>
  <sheetProtection/>
  <mergeCells count="13">
    <mergeCell ref="A7:E7"/>
    <mergeCell ref="A13:E13"/>
    <mergeCell ref="A8:E8"/>
    <mergeCell ref="A9:E9"/>
    <mergeCell ref="A10:E10"/>
    <mergeCell ref="A11:E11"/>
    <mergeCell ref="A12:E12"/>
    <mergeCell ref="A1:E1"/>
    <mergeCell ref="A4:D4"/>
    <mergeCell ref="A2:E2"/>
    <mergeCell ref="C3:D3"/>
    <mergeCell ref="C5:E5"/>
    <mergeCell ref="A6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2" sqref="A2:D2"/>
    </sheetView>
  </sheetViews>
  <sheetFormatPr defaultColWidth="9.140625" defaultRowHeight="21.75"/>
  <sheetData>
    <row r="1" spans="1:4" ht="21">
      <c r="A1" s="351" t="s">
        <v>101</v>
      </c>
      <c r="B1" s="351"/>
      <c r="C1" s="351"/>
      <c r="D1" s="351"/>
    </row>
    <row r="2" spans="1:4" ht="21">
      <c r="A2" s="351" t="s">
        <v>63</v>
      </c>
      <c r="B2" s="351"/>
      <c r="C2" s="351"/>
      <c r="D2" s="351"/>
    </row>
    <row r="3" spans="1:4" ht="21">
      <c r="A3" s="351" t="s">
        <v>65</v>
      </c>
      <c r="B3" s="351"/>
      <c r="C3" s="351"/>
      <c r="D3" s="351"/>
    </row>
    <row r="4" spans="1:4" ht="21">
      <c r="A4" s="351" t="s">
        <v>66</v>
      </c>
      <c r="B4" s="351"/>
      <c r="C4" s="351"/>
      <c r="D4" s="351"/>
    </row>
    <row r="5" spans="1:4" ht="21">
      <c r="A5" s="351" t="s">
        <v>64</v>
      </c>
      <c r="B5" s="351"/>
      <c r="C5" s="351"/>
      <c r="D5" s="351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Acer</cp:lastModifiedBy>
  <cp:lastPrinted>2023-07-25T04:02:32Z</cp:lastPrinted>
  <dcterms:created xsi:type="dcterms:W3CDTF">2000-06-22T14:55:11Z</dcterms:created>
  <dcterms:modified xsi:type="dcterms:W3CDTF">2023-07-25T04:41:42Z</dcterms:modified>
  <cp:category/>
  <cp:version/>
  <cp:contentType/>
  <cp:contentStatus/>
</cp:coreProperties>
</file>