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17625" tabRatio="813" firstSheet="2" activeTab="13"/>
  </bookViews>
  <sheets>
    <sheet name="ปก " sheetId="1" r:id="rId1"/>
    <sheet name="สรุป" sheetId="2" r:id="rId2"/>
    <sheet name="สรุปวัสดุ " sheetId="3" r:id="rId3"/>
    <sheet name="งานครุภัณฑ์" sheetId="4" r:id="rId4"/>
    <sheet name="งานสถาปัตยกรรม ชั้น 1" sheetId="5" r:id="rId5"/>
    <sheet name="งานสถาปัตยกรรม ชั้น 2" sheetId="6" r:id="rId6"/>
    <sheet name="งานปรับปรุงอื่นๆ" sheetId="7" r:id="rId7"/>
    <sheet name="งานถนน-ทางเท้าและซุ้มทางเข้า" sheetId="8" r:id="rId8"/>
    <sheet name="งานโครงสร้างถังน้ำดีและน้ำเสีย" sheetId="9" r:id="rId9"/>
    <sheet name="งานระบบไฟฟ้าและสื่อสาร" sheetId="10" r:id="rId10"/>
    <sheet name="งานระบบประปา-สุขาภิบาลฯ" sheetId="11" r:id="rId11"/>
    <sheet name="ระบบปรับอากาศและระบายอากาศ" sheetId="12" r:id="rId12"/>
    <sheet name="FACTOR F อาคาร" sheetId="13" r:id="rId13"/>
    <sheet name="งวดเงินและงวดงาน" sheetId="14" r:id="rId14"/>
    <sheet name="DATA" sheetId="15" state="hidden" r:id="rId15"/>
  </sheets>
  <externalReferences>
    <externalReference r:id="rId18"/>
    <externalReference r:id="rId19"/>
    <externalReference r:id="rId20"/>
  </externalReferences>
  <definedNames>
    <definedName name="_xlfn._FV" hidden="1">#NAME?</definedName>
    <definedName name="_xlfn.BAHTTEXT" hidden="1">#NAME?</definedName>
    <definedName name="_xlnm.Print_Area" localSheetId="12">'FACTOR F อาคาร'!$B$1:$K$74</definedName>
    <definedName name="_xlnm.Print_Area" localSheetId="13">'งวดเงินและงวดงาน'!$A$1:$G$127</definedName>
    <definedName name="_xlnm.Print_Area" localSheetId="3">'งานครุภัณฑ์'!$A$1:$I$34</definedName>
    <definedName name="_xlnm.Print_Area" localSheetId="8">'งานโครงสร้างถังน้ำดีและน้ำเสีย'!$A$1:$I$16</definedName>
    <definedName name="_xlnm.Print_Area" localSheetId="7">'งานถนน-ทางเท้าและซุ้มทางเข้า'!$A$1:$I$20</definedName>
    <definedName name="_xlnm.Print_Area" localSheetId="6">'งานปรับปรุงอื่นๆ'!$A$1:$I$41</definedName>
    <definedName name="_xlnm.Print_Area" localSheetId="10">'งานระบบประปา-สุขาภิบาลฯ'!$A$1:$I$107</definedName>
    <definedName name="_xlnm.Print_Area" localSheetId="9">'งานระบบไฟฟ้าและสื่อสาร'!$A$1:$I$86</definedName>
    <definedName name="_xlnm.Print_Area" localSheetId="4">'งานสถาปัตยกรรม ชั้น 1'!$A$1:$I$501</definedName>
    <definedName name="_xlnm.Print_Area" localSheetId="5">'งานสถาปัตยกรรม ชั้น 2'!$A$1:$I$82</definedName>
    <definedName name="_xlnm.Print_Area" localSheetId="0">'ปก '!$A$1:$L$21</definedName>
    <definedName name="_xlnm.Print_Area" localSheetId="11">'ระบบปรับอากาศและระบายอากาศ'!$A$1:$I$25</definedName>
    <definedName name="_xlnm.Print_Area" localSheetId="1">'สรุป'!$A$1:$J$20</definedName>
    <definedName name="_xlnm.Print_Area" localSheetId="2">'สรุปวัสดุ '!$A$1:$H$17</definedName>
    <definedName name="_xlnm.Print_Titles" localSheetId="3">'งานครุภัณฑ์'!$1:$5</definedName>
    <definedName name="_xlnm.Print_Titles" localSheetId="8">'งานโครงสร้างถังน้ำดีและน้ำเสีย'!$1:$5</definedName>
    <definedName name="_xlnm.Print_Titles" localSheetId="7">'งานถนน-ทางเท้าและซุ้มทางเข้า'!$1:$5</definedName>
    <definedName name="_xlnm.Print_Titles" localSheetId="6">'งานปรับปรุงอื่นๆ'!$1:$5</definedName>
    <definedName name="_xlnm.Print_Titles" localSheetId="10">'งานระบบประปา-สุขาภิบาลฯ'!$1:$5</definedName>
    <definedName name="_xlnm.Print_Titles" localSheetId="9">'งานระบบไฟฟ้าและสื่อสาร'!$1:$5</definedName>
    <definedName name="_xlnm.Print_Titles" localSheetId="4">'งานสถาปัตยกรรม ชั้น 1'!$1:$5</definedName>
    <definedName name="_xlnm.Print_Titles" localSheetId="5">'งานสถาปัตยกรรม ชั้น 2'!$1:$5</definedName>
    <definedName name="_xlnm.Print_Titles" localSheetId="11">'ระบบปรับอากาศและระบายอากาศ'!$1:$5</definedName>
    <definedName name="_xlnm.Print_Titles">'งานสถาปัตยกรรม ชั้น 1'!$1:$2</definedName>
    <definedName name="เปลียนกระเบื้อง" localSheetId="0">#REF!</definedName>
    <definedName name="เปลียนกระเบื้อง">#REF!</definedName>
  </definedNames>
  <calcPr fullCalcOnLoad="1"/>
</workbook>
</file>

<file path=xl/sharedStrings.xml><?xml version="1.0" encoding="utf-8"?>
<sst xmlns="http://schemas.openxmlformats.org/spreadsheetml/2006/main" count="1823" uniqueCount="752">
  <si>
    <t>ที่</t>
  </si>
  <si>
    <t>รายการ</t>
  </si>
  <si>
    <t>จำนวน</t>
  </si>
  <si>
    <t>หน่วย</t>
  </si>
  <si>
    <t>ค่าวัสดุ</t>
  </si>
  <si>
    <t>ค่าแรง</t>
  </si>
  <si>
    <t>รวมทั้งสิ้น</t>
  </si>
  <si>
    <t>ต่อหน่วย</t>
  </si>
  <si>
    <t>รวม</t>
  </si>
  <si>
    <t>หมายเหตุ</t>
  </si>
  <si>
    <t>บาท</t>
  </si>
  <si>
    <t>จำนวนเงิน (บาท)</t>
  </si>
  <si>
    <t>รวมค่าวัสดุและค่าแรงงาน</t>
  </si>
  <si>
    <t>มหาวิทยาลัยราชภัฏอุตรดิตถ์</t>
  </si>
  <si>
    <t>ค่าแรงงาน</t>
  </si>
  <si>
    <t>=</t>
  </si>
  <si>
    <t xml:space="preserve">รวมเป็นเงินค่าก่อสร้างทั้งสิ้น </t>
  </si>
  <si>
    <t>สรุปบัญชีปริมาณวัสดุ และแรงงานค่าก่อสร้าง</t>
  </si>
  <si>
    <t>รายละเอียดบัญชีแสดงปริมาณวัสดุ และแรงงานค่าก่อสร้าง</t>
  </si>
  <si>
    <t>สรุปบัญชีราคาค่าก่อสร้าง</t>
  </si>
  <si>
    <t>รวมเป็นเงินทั้งสิ้น</t>
  </si>
  <si>
    <t>ค่าวัสดุ + ค่าแรงงาน</t>
  </si>
  <si>
    <t>สัดส่วน</t>
  </si>
  <si>
    <t>ค่าใช้จ่ายในการดำเนินงานก่อสร้าง</t>
  </si>
  <si>
    <t>ค่าวัสดุและแรงงาน</t>
  </si>
  <si>
    <t xml:space="preserve">  1.1 ค่าวัสดุก่อสร้าง</t>
  </si>
  <si>
    <t xml:space="preserve">  1.2 ค่าแรงงานก่อสร้าง</t>
  </si>
  <si>
    <t xml:space="preserve">ค่าก่อสร้างในส่วนอื่น ๆ </t>
  </si>
  <si>
    <t>ล้านบาท</t>
  </si>
  <si>
    <t>ค่าดอกเบี้ย</t>
  </si>
  <si>
    <t>ค่ากำไร</t>
  </si>
  <si>
    <t>ตาราง  Factor  F   งานก่อสร้างอาคาร</t>
  </si>
  <si>
    <t>เงินล่วงหน้าจ่าย</t>
  </si>
  <si>
    <t>%</t>
  </si>
  <si>
    <t>ดอกเบี้ยเงินกู้</t>
  </si>
  <si>
    <t>% ต่อปี</t>
  </si>
  <si>
    <t>เงินประกันผลงานหัก</t>
  </si>
  <si>
    <t>ค่าภาษีมูลค่าเพิ่ม(VAT)</t>
  </si>
  <si>
    <t>Factor  F</t>
  </si>
  <si>
    <t>ค่างาน (ทุน)</t>
  </si>
  <si>
    <t>รวมในรูป</t>
  </si>
  <si>
    <t>ภาษีมูลค่าเพิ่ม</t>
  </si>
  <si>
    <t>ค่า</t>
  </si>
  <si>
    <t>Factor</t>
  </si>
  <si>
    <t xml:space="preserve">(VAT) </t>
  </si>
  <si>
    <t>อำนวยการ</t>
  </si>
  <si>
    <t>ดอกเบี้ย</t>
  </si>
  <si>
    <t>กำไร</t>
  </si>
  <si>
    <t>ค่าใช้จ่าย</t>
  </si>
  <si>
    <t>ทุนสูง</t>
  </si>
  <si>
    <t>ทุนต่ำ</t>
  </si>
  <si>
    <t>ราคาประเมินงานก่อสร้างอาคาร</t>
  </si>
  <si>
    <t>น้อยกว่า</t>
  </si>
  <si>
    <t>มากกว่า</t>
  </si>
  <si>
    <t>1. กรณีค่างานอยู่ระหว่างช่วงของค่างานต้นทุนที่กำหนด   ให้เทียบอัตราส่วนเพื่อหาค่า  Factor F</t>
  </si>
  <si>
    <t>2. ถ้าเป็นงานเงินกู้    ให้ใช้ Factor F  ในช่อง  "รวมในรูป Factor"</t>
  </si>
  <si>
    <t>สรุปผลการคำนวณหาค่า FACTOR F ที่ ราคาประเมินค่าก่อสร้าง</t>
  </si>
  <si>
    <t>สรุป</t>
  </si>
  <si>
    <t>ตารางคำนวนหาค่า  Factor  F  งานก่อสร้างอาคาร</t>
  </si>
  <si>
    <t>ค่าอำนวยการ</t>
  </si>
  <si>
    <t>ภาษีมูลค่าเพิ่ม (VAT)</t>
  </si>
  <si>
    <t>-</t>
  </si>
  <si>
    <t>มหาวิทยาลัยราชภัฏอุตรดิตถ์ วิทยาเขตหมอนไม้</t>
  </si>
  <si>
    <t>โรงเรียนสาธิต มหาวิทยาลัยราชภัฏอุตรดิตถ์</t>
  </si>
  <si>
    <t>มหาวิทยาลัยราชภัฏอุตรดิตถ์ วิทยาเขตแพร่</t>
  </si>
  <si>
    <t>มหาวิทยาลัยราชภัฏอุตรดิตถ์ วิทยาเขตน่าน</t>
  </si>
  <si>
    <t>รวมค่าในรูป FACTOR F</t>
  </si>
  <si>
    <t xml:space="preserve">    รวมราคาค่าวัสดุและแรงงาน</t>
  </si>
  <si>
    <t>Factor F</t>
  </si>
  <si>
    <t>(รายการที่ 1) x Factor F</t>
  </si>
  <si>
    <t>(รายการที่ 2) + (รายการที่ 3)</t>
  </si>
  <si>
    <t xml:space="preserve">  </t>
  </si>
  <si>
    <t xml:space="preserve">ราคาค่าก่อสร้างเป็นเงินทั้งสิ้น </t>
  </si>
  <si>
    <t>บัญชีแสดงปริมาณวัสดุ แรงงาน และประมาณราคาค่าก่อสร้าง</t>
  </si>
  <si>
    <t>กันยายน 2559</t>
  </si>
  <si>
    <t>ชุด</t>
  </si>
  <si>
    <t>งาน</t>
  </si>
  <si>
    <t xml:space="preserve"> </t>
  </si>
  <si>
    <t>เส้น</t>
  </si>
  <si>
    <t>เมตร</t>
  </si>
  <si>
    <t>งบประมาณการก่อสร้าง</t>
  </si>
  <si>
    <t xml:space="preserve">ระยะเวลาการก่อสร้าง </t>
  </si>
  <si>
    <t xml:space="preserve">                       </t>
  </si>
  <si>
    <t>งวดที่</t>
  </si>
  <si>
    <t>รายละเอียดงาน</t>
  </si>
  <si>
    <t>มูลค่างาน (บาท)</t>
  </si>
  <si>
    <t>ผลงานที่ต้องดำเนินการแล้วเสร็จ</t>
  </si>
  <si>
    <t>ระยะเวลาก่อสร้าง (วัน)</t>
  </si>
  <si>
    <t>งวดที่ 1</t>
  </si>
  <si>
    <t>งวดที่ 2</t>
  </si>
  <si>
    <t xml:space="preserve">ขอบเขตงาน       </t>
  </si>
  <si>
    <t>ปรับปรุงศูนย์เวชศาสตร์และดูแลผู้สูงวัย</t>
  </si>
  <si>
    <t xml:space="preserve"> งานรื้อถอน</t>
  </si>
  <si>
    <t>ตร.ม.</t>
  </si>
  <si>
    <t>เหมา</t>
  </si>
  <si>
    <t xml:space="preserve">  - งานทำ Curb ปูนทราย ลาดเอียงขอบวงกบหน้าต่างกันน้ำเข้าอาคาร โดยรอบของอาคาร </t>
  </si>
  <si>
    <t>ต้น</t>
  </si>
  <si>
    <t xml:space="preserve"> งานโครงสร้างฐานรับถังบำบัดน้ำเสีย </t>
  </si>
  <si>
    <t xml:space="preserve">  - ขุดดินและบดอัด</t>
  </si>
  <si>
    <t xml:space="preserve">  - งานเหล็กรับฐาน TANK 12 mm2</t>
  </si>
  <si>
    <t xml:space="preserve">  - งานเท CONCRETE ฐาน TANK  240 ksc </t>
  </si>
  <si>
    <t>จุด</t>
  </si>
  <si>
    <t xml:space="preserve">  - งานกลบทรายข้างถังพร้อมบดอัด </t>
  </si>
  <si>
    <t xml:space="preserve">  - งานปรับระดับดินบริเวณด้วยรอบให้เท่าระดับเดิม </t>
  </si>
  <si>
    <t xml:space="preserve"> งานระบบไฟฟ้าและแสงสว่าง </t>
  </si>
  <si>
    <t xml:space="preserve">  - Rewiring ตามแบบใหม่  </t>
  </si>
  <si>
    <t>วงจร</t>
  </si>
  <si>
    <t xml:space="preserve">  - งานสาย THW 2X2.5mm2</t>
  </si>
  <si>
    <t xml:space="preserve">  - งานท่อ EMT 1/2"</t>
  </si>
  <si>
    <t xml:space="preserve">  - งาน FLEX EMT 1/2"</t>
  </si>
  <si>
    <t xml:space="preserve">  - Fitting </t>
  </si>
  <si>
    <t xml:space="preserve">  - วัสดุสิ้นเปลือง</t>
  </si>
  <si>
    <t xml:space="preserve">  - Test &amp; Commissioning (รวมอยู่ในราคาข้างต้น)</t>
  </si>
  <si>
    <t xml:space="preserve">  - สาย THW 4X4 mm2</t>
  </si>
  <si>
    <t xml:space="preserve">  - สาย THW 1x2.5 mm2</t>
  </si>
  <si>
    <t xml:space="preserve">  - ท่อ EMT 3/4"</t>
  </si>
  <si>
    <t xml:space="preserve">  - ท่อ EMT  1 1/2"</t>
  </si>
  <si>
    <t xml:space="preserve">  - ตู้ Breaker 20 A.</t>
  </si>
  <si>
    <t xml:space="preserve">  - สายTHW 2x4 mm2</t>
  </si>
  <si>
    <t xml:space="preserve">  - สายTHW 1X2.5 mm2</t>
  </si>
  <si>
    <t xml:space="preserve">  - ท่อ EMT 3/4" </t>
  </si>
  <si>
    <t xml:space="preserve">  - สาย THW 2x2.5 mm2</t>
  </si>
  <si>
    <t xml:space="preserve">  - ท่อ EMT 1/2"</t>
  </si>
  <si>
    <t xml:space="preserve">  - ท่อ EMT3/4"</t>
  </si>
  <si>
    <t xml:space="preserve">  - สาย THW4 X6 mm2</t>
  </si>
  <si>
    <t xml:space="preserve">  - สาย THW4x2.5 mm2</t>
  </si>
  <si>
    <t xml:space="preserve">  - ท่อ EMT 1"</t>
  </si>
  <si>
    <t xml:space="preserve">  - สายTHW 4x6, </t>
  </si>
  <si>
    <t xml:space="preserve">  - สายTHW 1x4 </t>
  </si>
  <si>
    <t xml:space="preserve">  - ท่อ EMT 1" </t>
  </si>
  <si>
    <t xml:space="preserve">  - สาย THW 4x25 mm2</t>
  </si>
  <si>
    <t xml:space="preserve">  - สาย THW 1x10 mm2</t>
  </si>
  <si>
    <t xml:space="preserve">  - ท่อ EMT 2" </t>
  </si>
  <si>
    <t xml:space="preserve">  - สาย THW1x2.5 mm2</t>
  </si>
  <si>
    <t xml:space="preserve">  - ตู้ Consumer main 30 A. 1 ชุด ลูกย่อย 10A. 4 ชุด</t>
  </si>
  <si>
    <t xml:space="preserve">  - ท่อ Branch 2"</t>
  </si>
  <si>
    <t xml:space="preserve">  - ท่อ Branch 11/2 "</t>
  </si>
  <si>
    <t xml:space="preserve">  - ท่อ Branch1"</t>
  </si>
  <si>
    <t xml:space="preserve">  - ท่อ Branch 3/4"</t>
  </si>
  <si>
    <t xml:space="preserve">  - ท่อ Branch 1/2"</t>
  </si>
  <si>
    <t xml:space="preserve">  - Gate Valve 2 1/2" 200  psi </t>
  </si>
  <si>
    <t>ตัว</t>
  </si>
  <si>
    <t xml:space="preserve">  - Gate Valve 3/4" 125 psi </t>
  </si>
  <si>
    <t xml:space="preserve">  - Gate Valve1/2" 125 psi </t>
  </si>
  <si>
    <t xml:space="preserve"> งานเดินท่อระบบน้ำ Soil &amp; Waste ห้องน้ำถึงถังบำบัดด้านหน้าและด้านหลังอาคาร</t>
  </si>
  <si>
    <t xml:space="preserve"> งานเดินท่อ PVC Class 8.5</t>
  </si>
  <si>
    <t xml:space="preserve">  - ท่อ PVC Class 8.5  2"</t>
  </si>
  <si>
    <t xml:space="preserve">  - ท่อ PVC Class 8.5  2 1/2"</t>
  </si>
  <si>
    <t xml:space="preserve">  - ท่อ PVC Class 8.5   4"</t>
  </si>
  <si>
    <t xml:space="preserve">  - Hanger &amp; Support hot dip galvanized steel</t>
  </si>
  <si>
    <t xml:space="preserve">  - อุปกรณ์สิ้นเปลือง</t>
  </si>
  <si>
    <t xml:space="preserve">  - Gravity Leakage Test (รวมอยู่ในราคาข้างต้น)</t>
  </si>
  <si>
    <t xml:space="preserve"> งานปรับปรุงและเปลี่ยนแปลงระบบบำบัดเดิม</t>
  </si>
  <si>
    <t xml:space="preserve">  - ตรวจสอบสภาพถังบำบัดใหม่และแนวท่อทั้งเข้า-ออกเพื่อแก้ไขให้ได้ค่าระดับ</t>
  </si>
  <si>
    <t xml:space="preserve">  - ตรวจสอบท่อ Vent ท่อเติมสารเคมี ท่อเติมอากาศภายในบ่อและปรับปรุงแก้ไขทั้ง2 จุด</t>
  </si>
  <si>
    <t xml:space="preserve">  - งานเดินท่อ main เข้า-ออก PVC 4" Class 8.5 </t>
  </si>
  <si>
    <t xml:space="preserve">  - งานเดินท่ออากาศ 1"  </t>
  </si>
  <si>
    <t xml:space="preserve">  - งาน Hanger &amp; Support hotdip galvaized steel</t>
  </si>
  <si>
    <t xml:space="preserve">  - ตรวจสอบแนว Gutter รอบอาคารพร้อมทำความ</t>
  </si>
  <si>
    <t xml:space="preserve">  - สะอาดวัชพืชและทำตะแกรงเหล็กปิดตลอดแนว</t>
  </si>
  <si>
    <t>ชั้น</t>
  </si>
  <si>
    <t xml:space="preserve"> งาน Scan และ Coring พื้นคอนกรีตเดิม สำหรับ ซักโครก, อ้างล้างหน้า และ ท่อระบายน้ำที่พื้น </t>
  </si>
  <si>
    <t xml:space="preserve">  - งาน Scan พื้น</t>
  </si>
  <si>
    <t xml:space="preserve"> ระบบป้องกันอัคคีภัย </t>
  </si>
  <si>
    <t xml:space="preserve"> - ขัดสนิมและทาสีท่อใหม่แนวใต้อาคารทั้งหมด รวมถึงปรับปรุงและแก้ไข Support ท่อที่ชำรุด</t>
  </si>
  <si>
    <t xml:space="preserve"> - เปลี่ยนแก้ไข FHC ที่ข้อต่อวงล้อที่รั่วซึม </t>
  </si>
  <si>
    <t xml:space="preserve">      - ติดตั้งถังเคมีแบบ CO2 หน้าห้องไฟฟ้าประจำชั้น</t>
  </si>
  <si>
    <t xml:space="preserve"> - ตรวจสอบถังดับเพลิงเคมีที่พร่องและเปลี่ยนถ่ายใหม่ให้เต็มขนาด 15 ปอนด์</t>
  </si>
  <si>
    <t xml:space="preserve"> - งานเจาะกระจกใส่พัดลม 8"  </t>
  </si>
  <si>
    <t>บาน</t>
  </si>
  <si>
    <t xml:space="preserve"> - สายไฟ THW 2.5 mm2</t>
  </si>
  <si>
    <t xml:space="preserve"> - Flex EMT 1/2"</t>
  </si>
  <si>
    <t xml:space="preserve"> - Switch Lamp</t>
  </si>
  <si>
    <t xml:space="preserve"> - อุปกรณ์สิ้นเปลือง</t>
  </si>
  <si>
    <t xml:space="preserve"> - พัดลมติดกระจก 50 cfm</t>
  </si>
  <si>
    <t xml:space="preserve"> - พัดลมติดกระจก 150 cfm </t>
  </si>
  <si>
    <t xml:space="preserve">ชุด </t>
  </si>
  <si>
    <t xml:space="preserve"> - งานท่อ flex Duct 6" </t>
  </si>
  <si>
    <t xml:space="preserve"> - อลูมิเนียม Grill 8"</t>
  </si>
  <si>
    <t>งานระบบปรับอากาศและระบายอากาศ</t>
  </si>
  <si>
    <t>งานระบบไฟฟ้าและสื่อสาร</t>
  </si>
  <si>
    <t>ม.</t>
  </si>
  <si>
    <t>ลบ.ม</t>
  </si>
  <si>
    <t>ตร.ม</t>
  </si>
  <si>
    <t xml:space="preserve"> งานติดตั้งพัดลมระบายอากาศห้องน้ำ ชั้น 1</t>
  </si>
  <si>
    <t xml:space="preserve"> - เก็บงานกระจกเดิมในห้องน้ำทุกบานให้ FIX </t>
  </si>
  <si>
    <t>รวมราคางานติดตั้งพัดลมระบายอากาศห้องน้ำ ชั้น 1</t>
  </si>
  <si>
    <t xml:space="preserve"> - เปลี่ยน Gate Valve ชั้น 3 ข้างตู้ดับเพลิงตะวันตก </t>
  </si>
  <si>
    <t>งานระบบประปา-สุขาภิบาลและป้องกันอัคคีภัย</t>
  </si>
  <si>
    <t>รวมราคางานเดินท่อระบบน้ำ Soil &amp; Waste ห้องน้ำถึงถังบำบัดด้านหน้าและด้านหลังอาคาร</t>
  </si>
  <si>
    <t>รวมราคาระบบน้ำ Cold, Soil &amp; Waste ชั้น 1</t>
  </si>
  <si>
    <t>รวมราคางานระบบน้ำ Cold, Soil &amp; Waste ชั้น 2</t>
  </si>
  <si>
    <t xml:space="preserve"> งานเดินท่อระบบน้ำ Soil &amp; Waste ห้องน้ำ ชั้น 3 ถึง Riser ชั้น 2</t>
  </si>
  <si>
    <t>รวมราคางานปรับปรุงและเปลี่ยนแปลงระบบบำบัดเดิม</t>
  </si>
  <si>
    <t xml:space="preserve">  - ตรวจสอบสภาพถังเติมเคมีและชุด Control 2 ชุด พร้อมปรับปรุงให้อยู่ในสภาพพร้อมใช้งาน</t>
  </si>
  <si>
    <t xml:space="preserve">  - งานเปลี่ยนตู้ Control และตวรจสอบ Wiring ระบบเติมอากาศใหม่ทั้ง 2 ฝั่ง</t>
  </si>
  <si>
    <t>รวมราคางานงานติดตั้ง Septic  Tank</t>
  </si>
  <si>
    <t xml:space="preserve"> ระบบระบายน้ำอาคาร ชั้น 1</t>
  </si>
  <si>
    <t>รวมราคางานระบบระบายน้ำอาคาร ชั้น 1</t>
  </si>
  <si>
    <t xml:space="preserve">  - งาน Coring พื้น dia 3"</t>
  </si>
  <si>
    <t xml:space="preserve">  - งาน coring พื้น dia 6"</t>
  </si>
  <si>
    <t xml:space="preserve">รวมราคางาน ระบบป้องกันอัคคีภัย </t>
  </si>
  <si>
    <t xml:space="preserve">  - ต่อคอฝาถังให้ได้ระดับดินที่ Finish แล้วทั้ง 2 ฝั่ง</t>
  </si>
  <si>
    <t>รวมราคางานระบบประปา-สุขาภิบาลและป้องกันอัคคีภัย</t>
  </si>
  <si>
    <t xml:space="preserve">      - เติมตำแหน่งถังเคมีในพื้นที่สาย FHC ฉีดไม่ถึง</t>
  </si>
  <si>
    <t xml:space="preserve"> - ระบบท่อน้ำ,ตู้ FHC ประจำชั้นและถังดับเพลิงแบบเคมีแห้ง แก้ไขตำแหน่งและระดับหัวรับน้ำให้มาอยู่ริมถนน</t>
  </si>
  <si>
    <t xml:space="preserve">  - เพิ่มเติ่ม Switch วงจรแสงสว่าง </t>
  </si>
  <si>
    <t>รวมราคาระบบไฟฟ้า Emergency จ่ายระบบบำบัดน้ำเสีย ตัวใหม่ด้านหน้าอาคารอาคา</t>
  </si>
  <si>
    <t>รวมราคางานระบบไฟฟ้า Emergency จ่ายระบบบำบัดน้ำเสียตัวเดิมด้านข้างอาคารฝั่งตะวันตก</t>
  </si>
  <si>
    <t xml:space="preserve">รวมราคาระบบไฟ Emergency จ่ายระบบแสงสว่าง 30 % ใน อาคารชั้น 1-3 </t>
  </si>
  <si>
    <t>รวมราคาระบบไฟฟ้า Main Gen.จ่ายระบบ Pump น้ำดี ตัวใหม่ด้านข้างอาคารอาคาร</t>
  </si>
  <si>
    <t xml:space="preserve">รวมราคางานระบบไฟฟ้าจ่าย LIFT ในอาคาร 2 ตัว </t>
  </si>
  <si>
    <t xml:space="preserve">รวมราคางานระบบไฟฟ้าจ่ายตู้ Power ห้อง X-ray </t>
  </si>
  <si>
    <t>รวมราคางานระบบไฟฟ้าและสื่อสาร</t>
  </si>
  <si>
    <t xml:space="preserve"> งาน Rewiring วงจรไฟฟ้าแสงสว่าง ชั้น 1</t>
  </si>
  <si>
    <t>รวมราคางาน Rewiring วงจรไฟฟ้าแสงสว่าง ชั้น 1</t>
  </si>
  <si>
    <t xml:space="preserve"> งานระบบไฟฟ้า Emergency จ่ายระบบบำบัดน้ำเสีย ตัวใหม่ด้านหลังอาคาร</t>
  </si>
  <si>
    <t xml:space="preserve"> งานระบบไฟฟ้า Emergency จ่ายระบบบำบัดน้ำเสีย ตัวใหม่ด้านหน้าอาคารอาคาร</t>
  </si>
  <si>
    <t xml:space="preserve">รวมราคางานระบบไฟฟ้า Emergency จ่ายห้อง Server ใหม่ </t>
  </si>
  <si>
    <t xml:space="preserve">  - งานเสาเข็ม 6 เหลี่ยมและเท LEAN ปรับระดับ</t>
  </si>
  <si>
    <t xml:space="preserve"> งานระบบไฟฟ้า Emergency จ่ายระบบบำบัดน้ำเสียตัวเดิมด้านข้างอาคารฝั่งตะวันตก</t>
  </si>
  <si>
    <t xml:space="preserve"> งานระบบไฟ Emergency จ่ายระบบแสงสว่าง 30 % ใน อาคารชั้น 1-3 </t>
  </si>
  <si>
    <t xml:space="preserve"> งานระบบไฟฟ้า Main Gen.จ่ายระบบ Pump น้ำดี ตัวใหม่ด้านข้างอาคารอาคาร</t>
  </si>
  <si>
    <t xml:space="preserve"> งานระบบไฟฟ้าจ่าย LIFT ในอาคาร 2 ตัว </t>
  </si>
  <si>
    <t xml:space="preserve"> งานระบบไฟฟ้าจ่ายตู้ Power ห้อง X-ray </t>
  </si>
  <si>
    <t>งานระบบ Fire Alarm &amp; CCTV ติดห้องฉุกเฉิน</t>
  </si>
  <si>
    <t>รวมราคางานระบบ Fire Alarm &amp; CCTV ติดห้องฉุกเฉิน</t>
  </si>
  <si>
    <t>รวมราคางานระบบไฟฟ้า Emergency จ่ายระบบบำบัดน้ำเสียตัวใหม่ด้านหลังอาคาร</t>
  </si>
  <si>
    <t xml:space="preserve"> งานระบบไฟฟ้า Emergency จ่ายห้อง Server ใหม่ </t>
  </si>
  <si>
    <t xml:space="preserve">  - ท่อเมนจาก Riser ชั้น 1 ขึ้นชั้น 2 3/4" </t>
  </si>
  <si>
    <t xml:space="preserve">  - ท่อเมนจากภายในอาคาร 2 1/2" </t>
  </si>
  <si>
    <t xml:space="preserve"> งานระบบน้ำ Cold, Soil &amp; Waste ชั้น 1</t>
  </si>
  <si>
    <t>งานระบบน้ำ Cold, Soil &amp; Waste ชั้น 2</t>
  </si>
  <si>
    <t>รวมราคางานเดินท่อเมนระบบน้ำ Cold  (Class 13.5)</t>
  </si>
  <si>
    <t xml:space="preserve"> งานเดินท่อเมนระบบน้ำ Cold  (Class 13.5)</t>
  </si>
  <si>
    <t xml:space="preserve"> งานเดินท่อระบบน้ำ Soi l&amp; Waste ห้องน้ำชั้น 2 ถึง Riser ชั้น 1</t>
  </si>
  <si>
    <t>รวมราคางานเดินท่อระบบน้ำ Soil&amp;Waste ห้องน้ำชั้น 2 ถึง Riser ชั้น 1</t>
  </si>
  <si>
    <t xml:space="preserve"> งานระบบน้ำ Cold, Soil &amp; Waste ชั้น 3</t>
  </si>
  <si>
    <t xml:space="preserve">  - ท่อเมนจาก Riser ชั้น 2 ขึ้นชั้น 3 3/4" </t>
  </si>
  <si>
    <t>รวมราคางานเดินท่อระบบน้ำ Soil&amp;Waste ห้องน้ำ ชั้น 3 ถึง Riser ชั้น 2</t>
  </si>
  <si>
    <t>รวมราคางานระบบน้ำ Cold, Soil &amp; Waste ชั้น 3</t>
  </si>
  <si>
    <t xml:space="preserve">  - ตรวจสอบ Pump เติมอากาศทั้งระบบใหม่ 2 จุด</t>
  </si>
  <si>
    <t xml:space="preserve">  - ตรวจสอบสภาพบ่อดักไขมันและปรับปรุงแก้ไข</t>
  </si>
  <si>
    <t xml:space="preserve">  - ตวรจสอบท่อ Downspout ที่ลง Gutter และตัดต่อแก้ไข้ส่วนที่เสียหายใหม่ทั้งหมด</t>
  </si>
  <si>
    <t xml:space="preserve">  - เจาะ Curb ระเบียงระบายน้ำแบบ Overflow 11/2"บริเวณใกล้ Floor Drain ตลอดแนวระเบียง 3 ชั้น</t>
  </si>
  <si>
    <t xml:space="preserve">รวมราคางาน งาน Scan และ Coring พื้นคอนกรีตเดิมสำหรับ ซักโครก, อ้างล้างหน้าและท่อระบายน้ำที่พื้น </t>
  </si>
  <si>
    <t>งานครุภัณฑ์</t>
  </si>
  <si>
    <t>ห้องพักรวมหญิง</t>
  </si>
  <si>
    <t>ห้องพักรวมชาย</t>
  </si>
  <si>
    <t>รวมราคางานครุภัณฑ์ทั้งสิ้น</t>
  </si>
  <si>
    <t xml:space="preserve"> งานปรับปรุง</t>
  </si>
  <si>
    <t>รวมราคางานห้องน้ำใต้บันใด</t>
  </si>
  <si>
    <t>รวมราคางานผนังตกแต่งกัน ZONE ระหว่างส่วนเวชศาสตร์และส่วนดูแลผู้สูงวัย</t>
  </si>
  <si>
    <t>รวมราคางานเปลี่ยนห้องสมุดคณะเป็นห้องนวดแผนไทย</t>
  </si>
  <si>
    <t>รวมราคางานเปลี่ยนห้องโทรทัศและห้องเทคนิคเป็นห้องเปลี่ยนเสื้อผ้าและเก็บของ</t>
  </si>
  <si>
    <t>งานทำ Curb ปูนลาดเอียงขอบวงกบหน้าต่างกันน้ำเข้าอาคารโดยรอบของอาคาร</t>
  </si>
  <si>
    <t>รวมราคางานทำ Curb ปูนลาดเอียงขอบวงกบหน้าต่างกันน้ำเข้าอาคารโดยรอบของอาคาร</t>
  </si>
  <si>
    <t>รวมราคางานเปลี่ยนห้องพยาบาลคณะเป็นห้อง X-Ray</t>
  </si>
  <si>
    <t>งานผนังและตกแต่งผนัง</t>
  </si>
  <si>
    <t>งานพื้น</t>
  </si>
  <si>
    <t>งานฝ้าเพดาน</t>
  </si>
  <si>
    <t>งานประตูและหน้าต่าง (รวมอุปกรณ์)</t>
  </si>
  <si>
    <t xml:space="preserve">    - D4 : บานเลื่อนเดี่ยว ขนาด 1.50 x 2.30 ม.</t>
  </si>
  <si>
    <t xml:space="preserve">    - D5 : บานเลื่อนเดี่ยว ขนาด 1.10 x 2.30 ม.</t>
  </si>
  <si>
    <t>งานทาสี</t>
  </si>
  <si>
    <t xml:space="preserve"> งานประตูและหน้าต่าง (รวมอุปกรณ์)</t>
  </si>
  <si>
    <t>งานสี</t>
  </si>
  <si>
    <t xml:space="preserve">    - D3 : บานเลื่อนเดี่ยว ขนาด 1.20 x 2.30 ม.</t>
  </si>
  <si>
    <t xml:space="preserve">    - งานฉาบผนัง</t>
  </si>
  <si>
    <t xml:space="preserve"> งานฝ้าเพดาน</t>
  </si>
  <si>
    <t xml:space="preserve"> งานสี</t>
  </si>
  <si>
    <t>งานสุขภัณฑ์และอุปกรณ์ประกอบห้องน้ำ</t>
  </si>
  <si>
    <t xml:space="preserve"> งานพื้น</t>
  </si>
  <si>
    <t xml:space="preserve"> งานสุขภัณฑ์และอุปกรณ์ประกอบห้องน้ำ</t>
  </si>
  <si>
    <t xml:space="preserve">    - W5 : หน้าต่างกระจกบานกระทุ้ง 2 บาน ขนาด 1.35 x 0.55 ม.</t>
  </si>
  <si>
    <t xml:space="preserve"> งานผนังและตกแต่งผนัง</t>
  </si>
  <si>
    <t>รวมราคางานเปลี่ยนห้องพักอาจารณ์เป็นห้องพักรวมชายและเพิ่มห้อง Service Room</t>
  </si>
  <si>
    <t xml:space="preserve">     - งานรื้อฝ้าเพดาน</t>
  </si>
  <si>
    <t>รวมราคางานปรับเปลี่ยนห้องรับแขกส่วนกลางและเพิ่มพื้นที่สำหรับโถงลิฟท์ขนของ</t>
  </si>
  <si>
    <t xml:space="preserve">  งานสี</t>
  </si>
  <si>
    <t xml:space="preserve">   - ผ2 - ผนังก่อคอนกรีตมวลเบา 20 x 60 x หนา 7.5 ซม G4 ผิวฉาบปูนเรียบ ความหนารวม 10 ซม. </t>
  </si>
  <si>
    <t>งานสุขภัณฑ์ประกอบห้องน้ำ</t>
  </si>
  <si>
    <t>รวมราคางานชั้นที่ 1</t>
  </si>
  <si>
    <t>งานปรับปรุงอื่นๆ</t>
  </si>
  <si>
    <t xml:space="preserve"> อ้างอิง GL.1A-1B ≠ A1-B1 : งานเปลี่ยนห้องโทรทัศและห้องเทคนิคเป็นห้องเปลี่ยนเสื้อผ้าและเก็บของ</t>
  </si>
  <si>
    <t xml:space="preserve">     - งานรื้อผนังก่ออิฐฉาบปูน 2 (ทำช่องสำหรับติดตั้งประตู)</t>
  </si>
  <si>
    <t xml:space="preserve">    - ผ2 - ผนังก่อคอนกรีตบล็อค ขนาด 190 x 390 x 70 มม. ผิวฉาบปูนเรียบ ความหนารวม 10 ซม. </t>
  </si>
  <si>
    <t>งานปรับปรุง</t>
  </si>
  <si>
    <t>งานรื้อถอน</t>
  </si>
  <si>
    <t xml:space="preserve">   - ผ2 -  ผนังก่อคอนกรีตมวลเบา 20 x 60 x หนา 7.5 ซม G4 ผิวฉาบปูนเรียบ ความหนารวม 10 ซม. </t>
  </si>
  <si>
    <t>รวมราคางานเปลี่ยนห้องเรียนคอมพิวเตอร์เป็นห้องนวดพิเศษ จำนวน 2 ห้อง</t>
  </si>
  <si>
    <t>รวมราคางานปรับปรุงอื่น ๆ ทั้งสิ้น</t>
  </si>
  <si>
    <t>งานปรับปรุง ชั้น 1</t>
  </si>
  <si>
    <t>งานปรับปรุง ชั้น 2</t>
  </si>
  <si>
    <t xml:space="preserve">      -  งานรื้อประตู AD15 และ AD16 + ช่องแสง</t>
  </si>
  <si>
    <t xml:space="preserve">      - งานรื้อผนังก่ออิฐฉาบปูน</t>
  </si>
  <si>
    <t xml:space="preserve">      - งานรื้อฝ้าเพดาน</t>
  </si>
  <si>
    <t xml:space="preserve">       - งานรื้อประตู AD16a และผนังกระจกทั้งหมด</t>
  </si>
  <si>
    <t xml:space="preserve">       - งานรื้อฝ้าเพดาน</t>
  </si>
  <si>
    <t xml:space="preserve"> อ้างอิง GL.1A-1B ≠ A1-B1 : งานเปลี่ยนห้องพยาบาลคณะเป็นห้อง X-Ray</t>
  </si>
  <si>
    <t xml:space="preserve"> อ้างอิง GL.1D-1F ≠ A1-B1 : งานเปลี่ยนห้องแสดงผลงานนักศึกษาเป็นห้องจ่ายยาและการเงิน</t>
  </si>
  <si>
    <t xml:space="preserve"> อ้างอิง GL.1I-1J ≠ F1-G1 : งานเปลี่ยนห้องสื่อสิ่งพิมพ์เป็นห้องไฟฟ้า,ห้องน้ำผู้สูงวัยและห้อง Locker</t>
  </si>
  <si>
    <t xml:space="preserve">       - งานรื้อประตู AD15 + ช่องแสง</t>
  </si>
  <si>
    <t xml:space="preserve">       - งานรื้อผนังก่ออิฐฉาบปูน 2</t>
  </si>
  <si>
    <t xml:space="preserve">      - สกัดพื้นเดิมลึก 6 ซม.เพื่อลดระดับห้องน้ำ</t>
  </si>
  <si>
    <t xml:space="preserve">      - D5 : บานเลื่อนเดี่ยว ขนาด 1.10 x 2.30 ม.</t>
  </si>
  <si>
    <t xml:space="preserve">      - ก็อกล้างพื้นสแตนเลส</t>
  </si>
  <si>
    <t xml:space="preserve">      - ชุดฝักบัวสายอ่อนพลาสติก ABS ผิวเคลือบโครเมี่ยม 3  ระดับ  พร้อมอุปกรณ์ครบชุด (ก้านปรับระดับได้)</t>
  </si>
  <si>
    <t xml:space="preserve">      - สุขภัณฑ์ชิ้นเดียว </t>
  </si>
  <si>
    <t xml:space="preserve">       - ผ2 - ผนังก่อคอนกรีตมวลเบา 20 x 60 x หนา 7.5 ซม G4 ผิวฉาบปูนเรียบ ความหนารวม 10 ซม. </t>
  </si>
  <si>
    <t xml:space="preserve">        - งานฉาบผนัง</t>
  </si>
  <si>
    <t xml:space="preserve">        - D5 : บานเลื่อนเดี่ยว ขนาด 1.10 x 2.30 ม.</t>
  </si>
  <si>
    <t xml:space="preserve">        - สุขภัณฑ์ชิ้นเดียว </t>
  </si>
  <si>
    <t xml:space="preserve">       - งานรื้อประตู AD10 (ห้องน้ำ)</t>
  </si>
  <si>
    <t xml:space="preserve">       - งานรื้อประตู AD14</t>
  </si>
  <si>
    <t xml:space="preserve">       - งานรื้อผนังห้องน้ำสำเร็จรูป</t>
  </si>
  <si>
    <t xml:space="preserve">         - งานฉาบผนัง</t>
  </si>
  <si>
    <t xml:space="preserve">       - สกัดพื้นเดิมลึก 6 ซม.เพื่อลดระดับห้องน้ำ</t>
  </si>
  <si>
    <t xml:space="preserve">       - งานฉาบผนัง</t>
  </si>
  <si>
    <t xml:space="preserve">       - D5 : บานเลื่อนเดี่ยว ขนาด 1.10 x 2.30 ม.</t>
  </si>
  <si>
    <t xml:space="preserve">      - D10 : บานเลื่อนเดี่ยว ขนาด 0.80 x 2.25 ม.</t>
  </si>
  <si>
    <t xml:space="preserve">       - ที่ใส่กระดาษชำระทองเหลืองชุบนิกเกิลโครเมียม</t>
  </si>
  <si>
    <t xml:space="preserve">       - ชุดฝักบัวสายอ่อนพลาสติก ABS ผิวเคลือบโครเมี่ยม 3  ระดับ  พร้อมอุปกรณ์ครบชุด (ก้านปรับระดับได้)</t>
  </si>
  <si>
    <t xml:space="preserve">       - ก็อกล้างพื้นสแตนเลส</t>
  </si>
  <si>
    <t xml:space="preserve"> อ้างอิง GL.1J-1M.5 ≠ K1-L1 : งานเปลี่ยนห้องพักอาจารย์เป็นห้องพักรวมชายและเพิ่มห้อง Service Room</t>
  </si>
  <si>
    <t xml:space="preserve"> อ้างอิง GL.1N-1O ≠ H1-J1 : งานเปลี่ยนห้องเรียนคอมพิวเตอร์เป็นห้องครัวและรับประทานอาหาร</t>
  </si>
  <si>
    <t xml:space="preserve"> อ้างอิง GL.1M-1O ≠ F1-G1 : งานเปลี่ยนห้องโทรทัศน์และห้องตัดต่อเป็นห้องพิเศษเดี่ยวและห้องพิเศษคู่ จำนวน 4 ห้อง</t>
  </si>
  <si>
    <t xml:space="preserve"> อ้างอิง GL.1E-1H ≠ N1 : งานเปลี่ยนประตูบานเปิดสวิงเป็นประตูบานเลื่อน  Auto Door (ประตูทางเข้าหลัก)</t>
  </si>
  <si>
    <t xml:space="preserve"> อ้างอิง GL.1C-1E ≠ D1-E1 : งานเปลี่ยนห้องติดต่อสอบถามเป็นห้องโสดและห้องฉุกเฉินและเปลี่ยนห้องประชุม, ห้องผอ.คณะเป็นห้องตรวจ 5-6</t>
  </si>
  <si>
    <t xml:space="preserve"> อ้างอิง GL.1G-1I ≠ K1-L1 : งานปรับเปลี่ยนห้องรับแขกส่วนกลางและเพิ่มพื้นที่สำหรับโถงลิฟท์ขนของ</t>
  </si>
  <si>
    <t xml:space="preserve"> อ้างอิง GL.1A-1C ≠ C1-E1 : งานเปลี่ยนห้องพักผ่อนและรับประทานอาหาร ห้องฝึกประสบการณ์เป็นห้องกายภาพบำบัด, เปลี่ยนห้อง PANTRY เป็น ห้อง Lab และทำห้องน้ำใหม่</t>
  </si>
  <si>
    <t>รวมราคางานเปลี่ยนห้องติดต่อสอบถามเป็นห้องโสดและห้องฉุกเฉินและเปลี่ยนห้องประชุม, ห้องผอ.คณะเป็นห้องตรวจ 5-6</t>
  </si>
  <si>
    <t>รวมราคางานเปลี่ยนประตูบานเปิดสวิงเป็นประตูบานเลื่อน  Auto Door (ประตูทางเข้าหลัก)</t>
  </si>
  <si>
    <t>อ้างอิง GL.1G-1I # F1 : งานห้องน้ำใต้บันใด</t>
  </si>
  <si>
    <t xml:space="preserve">      - งานฉาบผนัง</t>
  </si>
  <si>
    <t xml:space="preserve">      - W2 : หน้าต่างกระจกตะกั่วเดี่ยว บานติดตาย ขนาด 0.50 x 0.60 ม.</t>
  </si>
  <si>
    <t xml:space="preserve">      - D3 : บานเลื่อนเดี่ยว ขนาด 1.20 x 2.30 ม.</t>
  </si>
  <si>
    <t xml:space="preserve">      - ผ2 - ผนังก่อคอนกรีตมวลเบา 20 x 60 x หนา 7.5 ซม G4 ผิวฉาบปูนเรียบความหนารวม 10 ซม. </t>
  </si>
  <si>
    <t xml:space="preserve">       - ผนังบุแผ่นตะกั่วหนา 1.0 มม. สำหรับห้อง X-Ray</t>
  </si>
  <si>
    <t xml:space="preserve">     - งานฉาบผนัง</t>
  </si>
  <si>
    <t xml:space="preserve">     - ฝ้าเพดานแผ่นยิปซั่ม บอร์ด หนา 12 มม. ชนิดธรรมดา โครงเคร่าเหล็กชุปสังกะสี  ฉาบเรียบรอยต่อ  ทาสีน้ำอะครีลิค</t>
  </si>
  <si>
    <t xml:space="preserve">     - D3 : บานเลื่อนเดี่ยว ขนาด 1.20 x 2.30  ม.</t>
  </si>
  <si>
    <t xml:space="preserve">     - W1 : บานเลื่อนคู่ + ช่องแสงบาน FIX ขนาด 1.40 x 1.10  ม.</t>
  </si>
  <si>
    <t xml:space="preserve">      - D9 : บานเปิดเดี่ยว ขนาด 0.80 x 2.25 ม.</t>
  </si>
  <si>
    <t xml:space="preserve"> อ้างอิง GL.1J-1M ≠ F1-G1 : งานเปลี่ยนห้องสื่อสิ่งพิมพ์,ห้องวิทยุและโทรทัศน์เป็นห้องพักรวมหญิงและห้องน้ำ</t>
  </si>
  <si>
    <t xml:space="preserve">       - งานรื้อหน้าต่างอลูมิเนียม</t>
  </si>
  <si>
    <t xml:space="preserve">       - งานประตู AD15 รวมช่องแสง</t>
  </si>
  <si>
    <t xml:space="preserve">       - งานผนังก่ออิฐฉาบปูน 2</t>
  </si>
  <si>
    <t xml:space="preserve">        - สกัดพื้นเดิมลึก 6 ซม.เพื่อลดระดับห้องน้ำ</t>
  </si>
  <si>
    <t xml:space="preserve">       - ผ2- ผนังก่อคอนกรีตมวลเบา 20 x 60 x หนา 7.5 ซม G4 ผิวฉาบปูนเรียบ ความหนารวม 10 ซม. </t>
  </si>
  <si>
    <t xml:space="preserve">       - D9 : บานเปิดเดี่ยว ขนาด 0.80 x 2.25 ม.</t>
  </si>
  <si>
    <t xml:space="preserve">       - D10 : บานเลื่อนเดี่ยว ขนาด 0.80 x 2.25 ม.</t>
  </si>
  <si>
    <t xml:space="preserve">       - W4 : หน้าต่างกระจกบานกระทุ้ง 3 บาน ขนาด 2.00 x 0.55  ม.</t>
  </si>
  <si>
    <t xml:space="preserve">       - สุขภัณฑ์ชิ้นเดียว </t>
  </si>
  <si>
    <t xml:space="preserve">       - ราวพยุงตัวสำหรับคนไข้ (สแตนเลสรูปตัว U)</t>
  </si>
  <si>
    <t xml:space="preserve">       - D4 : บานเลื่อนเดี่ยว ขนาด 1.50 x 2.30  ม.</t>
  </si>
  <si>
    <t xml:space="preserve">       - D12 : บานเปิดเดี่ยว ขนาด 0.80 x 2.25  ม.</t>
  </si>
  <si>
    <t xml:space="preserve">        - ราวพยุงตัวสำหรับคนไข้ (สแตนเลสรูปตัว U)</t>
  </si>
  <si>
    <t xml:space="preserve">        - ผ2 - ผนังก่อคอนกรีตมวลเบา 20 x 60 x หนา 7.5 ซม G4 ผิวฉาบปูนเรียบ ความหนารวม 10 ซม. </t>
  </si>
  <si>
    <t xml:space="preserve">         - D5 : บานเลื่อนเดี่ยว ขนาด 1.10 x 2.30 ม.</t>
  </si>
  <si>
    <t xml:space="preserve">         - W5 : หน้าต่างกระจกบานกระทุ้ง 2 บาน ขนาด 1.35 x 0.55 ม.</t>
  </si>
  <si>
    <t>รวมราคางานเปลี่ยนห้องโทรทัศน์และห้องตัดต่อเป็นห้องพักพิเศษเดี่ยวและห้องพักพิเศษคู่ จำนวน 4 ห้อง</t>
  </si>
  <si>
    <t xml:space="preserve">         - สุขภัณฑ์ชิ้นเดียว</t>
  </si>
  <si>
    <t xml:space="preserve">         - ชุดฝักบัวสายอ่อนพลาสติก ABS ผิวเคลือบโครเมี่ยม 3  ระดับ  พร้อมอุปกรณ์ครบชุด (ก้านปรับระดับได้)</t>
  </si>
  <si>
    <t xml:space="preserve">      - ผ2 - ผนังก่อคอนกรีตมวลเบา 20 x 60 x หนา 7.5 ซม G4 ผิวฉาบปูนเรียบ ความหนารวม 10 ซม. </t>
  </si>
  <si>
    <t xml:space="preserve">        - งานผนังฉาบปูน</t>
  </si>
  <si>
    <t xml:space="preserve">      - D5 : บานเลื่อนเดี่ยว ขนาด 1.10 x 2.30  ม.</t>
  </si>
  <si>
    <t xml:space="preserve">      - W5 : หน้าต่างกระจกบานกระทุ้ง 2 บาน ขนาด 1.35 x 0.55 ม.</t>
  </si>
  <si>
    <t xml:space="preserve">      - ที่ใส่กระดาษชำระทองเหลืองชุบนิกเกิลโครเมียม</t>
  </si>
  <si>
    <t xml:space="preserve">      - งานรื้อประตู AD14</t>
  </si>
  <si>
    <t xml:space="preserve">      - W3 : หน้าต่างกระจกบานกระทุ้งเดียว ขนาด 0.70 x 0.55 ม.</t>
  </si>
  <si>
    <t xml:space="preserve">      -  อ่างล้างหน้าแบบแขวนผนังพร้อมตู้เก็บของใต้อ่าง</t>
  </si>
  <si>
    <t xml:space="preserve">       - D1 : บานเลื่อนคู่ AUTO - DOOR + ช่องแสงบาน Fix ขนาด 5.70 x 3.00  ม.</t>
  </si>
  <si>
    <t xml:space="preserve">       - งานรื้อประตูห้องประชุมและห้อง ผอ.คณะ</t>
  </si>
  <si>
    <t xml:space="preserve">       - D3 : บานเลื่อนเดี่ยว ขนาด 1.20 x 2.30  ม.</t>
  </si>
  <si>
    <t xml:space="preserve">       - D2 : บานเลื่อนคู่ AUTO - DOOR + ช่องแสงบาน Fix ขนาด 4.00 x 3.00  ม.</t>
  </si>
  <si>
    <t xml:space="preserve">       - งานรื้อประตู AD7</t>
  </si>
  <si>
    <t xml:space="preserve">      - ผนังฉาบปูน</t>
  </si>
  <si>
    <t xml:space="preserve">      - D7 : บานเลื่อนคู่ + ช่องแสง FIX ขนาด 3.80 x 3.00  ม.</t>
  </si>
  <si>
    <t xml:space="preserve">      - D11 : บานเปิดเดี่ยว ขนาด 0.80 x 2.25 ม.</t>
  </si>
  <si>
    <t xml:space="preserve">      - W7 : หน้าต่างกระจกบานเลื่อน 2 บาน ขนาด 2.05 x 1.30  ม.</t>
  </si>
  <si>
    <t xml:space="preserve">       - ผนังฉาบปูน</t>
  </si>
  <si>
    <t xml:space="preserve">       - D10 : ประตู Upvc  </t>
  </si>
  <si>
    <t>รวมราคางานปรับปรุงงานอื่นๆ</t>
  </si>
  <si>
    <t xml:space="preserve">      -  งานรื้อหน้าต่างอลูมิเนียม AW2</t>
  </si>
  <si>
    <t xml:space="preserve">       - งานรื้อประตูอลูมิเนียม AD5</t>
  </si>
  <si>
    <t xml:space="preserve">      -  ผ2 - ผนังก่อคอนกรีตมวลเบา 20 x 60 x หนา 7.5 ซม G4 ผิวฉาบปูนเรียบ ความหนารวม 10 ซม. </t>
  </si>
  <si>
    <t xml:space="preserve"> อ้างอิง GL.1B-1D ≠ A1-B1 : งานเปลี่ยนห้องเรียนคอมพิวเตอร์และห้องปฏิบัติการธุรกิจจำลองเป็นห้องตรวจ 1-5</t>
  </si>
  <si>
    <t>รวมราคาเปลี่ยนห้องเรียนคอมพิวเตอร์และห้องปฏิบัติการธุรกิจจำลองเป็นห้องตรวจ 1-5</t>
  </si>
  <si>
    <t xml:space="preserve">       - ราวพยุงตัวสำหรับคนไข้ (สแตนเลสรูปตัว L ห้องอาบน้ำ)</t>
  </si>
  <si>
    <t xml:space="preserve">       - งานรื้อพื้นทรายล้างและกระเบื้อง</t>
  </si>
  <si>
    <t xml:space="preserve">       - งานฝ้าเพดาน PVC ลายไม้</t>
  </si>
  <si>
    <t xml:space="preserve">       - งานทรายล้างและเซาะร่อง</t>
  </si>
  <si>
    <t xml:space="preserve">       - งานทาสีน้ำมันค้ำยัน</t>
  </si>
  <si>
    <t xml:space="preserve">       - กันลื่นอลูมิเนียม 2"</t>
  </si>
  <si>
    <t xml:space="preserve"> งานปรับปรุงแผงบังแดด</t>
  </si>
  <si>
    <t>รวามราคางานปรับปรุงแผงบังแดด</t>
  </si>
  <si>
    <t xml:space="preserve">       - งานรื้อหลังคา Shingle Roof </t>
  </si>
  <si>
    <t>รวมราคางานปรับปรุงฝ้าเพดานโถงจั่ว</t>
  </si>
  <si>
    <t xml:space="preserve">       - งานรื้อฝ้าเพดาน T-bar</t>
  </si>
  <si>
    <t>งานจัดภูมิทัศน์ชั้น 1</t>
  </si>
  <si>
    <t>จัดสวน</t>
  </si>
  <si>
    <t>งานปรับปรุงหลังคา Shingle Roof</t>
  </si>
  <si>
    <t xml:space="preserve">               รวมราคางานปรับปรุงหลังคา Shingle Roof</t>
  </si>
  <si>
    <t>รวมราคางานปรับภูมิทัศน์ชั้น 1</t>
  </si>
  <si>
    <t xml:space="preserve">      - งานซ่อมพื้น</t>
  </si>
  <si>
    <t xml:space="preserve">          -  งานรื้อหน้าต่างอลูมิเนียม AW2</t>
  </si>
  <si>
    <t xml:space="preserve">          -  รื้อประตูบานเลื่อน</t>
  </si>
  <si>
    <t xml:space="preserve">          -  รื้อประตู AD14 + ช่องแสง</t>
  </si>
  <si>
    <t xml:space="preserve">          '-  รื้อผนังก่ออิฐฉาบปูน</t>
  </si>
  <si>
    <t xml:space="preserve">          -  รื้อฝ้าเพดาน (ยกเว้นห้องน้ำ)</t>
  </si>
  <si>
    <t xml:space="preserve">   งานผนังและตกแต่งผนัง</t>
  </si>
  <si>
    <t xml:space="preserve">        - ผ2 - ผนังก่อคอนกรีตมวลเบา 20 x 60 x หนา 7.5 ซม. G4 ผิวฉาบปูนเรียบ ความหนารวม 10 ซม. </t>
  </si>
  <si>
    <t xml:space="preserve">        - ผนังบุแผ่นตะกั่วหนา 1.5 มม. สำหรับห้อง X-Ray</t>
  </si>
  <si>
    <t xml:space="preserve">        - เสาเอ็นและทับหลัง</t>
  </si>
  <si>
    <t xml:space="preserve">        - D4 : บานเลื่อนเดี่ยว ขนาด 1.50 x 2.30 ม.</t>
  </si>
  <si>
    <t xml:space="preserve">        - W2 : หน้าต่างกระจกตะกั่วเดี่ยว บานติดตาย ขนาด 0.50 x 0.60 ม.</t>
  </si>
  <si>
    <t xml:space="preserve">        - ฝ3 - ฝ้าเพดานแผ่นยิปซั่ม บอร์ด หนา 9 มม. ชนิดธรรมดา โครงเคร่าเหล็กชุปสังกะสี  ฉาบเรียบรอยต่อ  ทาสีน้ำอะครีลิค</t>
  </si>
  <si>
    <t xml:space="preserve">        - D4A : บานเลื่อนเดี่ยว ขนาด 1.50 x 2.30 ม.</t>
  </si>
  <si>
    <t xml:space="preserve">       - ฝ3  - ฝ้าเพดานแผ่นยิปซั่ม บอร์ด หนา 9 มม. ชนิดธรรมดา โครงเคร่าเหล็กชุปสังกะสี  ฉาบเรียบรอยต่อ  ทาสีน้ำอะครีลิค</t>
  </si>
  <si>
    <t xml:space="preserve">      - D3A : บานเลื่อนเดี่ยว ขนาด 1.50 x 2.30  ม. (บุตะกั่วทั้งบานไม่น้อยกว่า        2 มม.)</t>
  </si>
  <si>
    <t xml:space="preserve">        - เสาเอ็นและทับหลังขนาด 20x20 ซม.</t>
  </si>
  <si>
    <t xml:space="preserve">        - เสาเอ็นและทับหลังขนาด 10x10 ซม.</t>
  </si>
  <si>
    <t xml:space="preserve">      - เสาเอ็นและทับหลังขนาด 10x10 ซม.</t>
  </si>
  <si>
    <t xml:space="preserve">        - ทาสีน้ำอะครีลิค ชนิดเนียนเรียบ พรีเมียม เกรด (ภายในห้อง)</t>
  </si>
  <si>
    <t xml:space="preserve">     รวมราคางานเปลี่ยนห้องแสดงผลงานนักศึกษาเป็นห้องจ่ายยาและการเงิน</t>
  </si>
  <si>
    <t xml:space="preserve">       - งานรื้อประตู AD15 และช่องแสง</t>
  </si>
  <si>
    <t xml:space="preserve">       - เสาเอ็นและทับหลัง</t>
  </si>
  <si>
    <t xml:space="preserve">       - ฝ้าเพดานแผ่นยิปซั่ม บอร์ด หนา 9 มม. ชนิดทนความชื้น โครงเคร่าเหล็กชุปสังกะสี  ฉาบเรียบรอยต่อ  ทาสีน้ำอะครีลิค</t>
  </si>
  <si>
    <t xml:space="preserve">       - ฝ้าเพดานแผ่นยิปซั่ม บอร์ด หนา 9 มม. โครงเคร่าเหล็กชุปสังกะสี  ฉาบเรียบรอยต่อ  ทาสีน้ำอะครีลิค</t>
  </si>
  <si>
    <t xml:space="preserve">        - งานเสาเอ็นและทับหลัง</t>
  </si>
  <si>
    <t xml:space="preserve">       - W6 : หน้าต่างกระจกบานกระทุ้ง 3 บาน ขนาด 2.00 x 0.55 ม.</t>
  </si>
  <si>
    <t xml:space="preserve">        - อ้างล้างมือชนิดฝังบนเคาน์เตอร์ทรงเหลี่ยมพร้อมก็อกแบบก้านโยกพร้อมอุปกรณ์ครบชุด</t>
  </si>
  <si>
    <t xml:space="preserve">        - ราวพยุงตัวสำหรับคนไข้ (สแตนเลสรูปตัว L)</t>
  </si>
  <si>
    <t xml:space="preserve"> งานส่วนเคาน์เตอร์พยาบาล</t>
  </si>
  <si>
    <t xml:space="preserve">   รวมราคางานเปลี่ยนห้องสื่อสิ่งพิมพ์,ห้องวิทยุและโทรทัศน์เป็นห้องพักรวมหญิงและห้องน้ำ</t>
  </si>
  <si>
    <t xml:space="preserve">       - กระจกเงา 5 มม.  1.00x0.80 ม. ลบขอบ ติดแบบกรอบลอย </t>
  </si>
  <si>
    <t xml:space="preserve">        - อ่างล้างมือชนิดฝังบนเคาน์เตอร์ทรงเหลี่ยมพร้อมก็อกแบบก้านโยกพร้อมอุปกรณ์ครบชุด</t>
  </si>
  <si>
    <t xml:space="preserve">         - ฝ้าเพดานแผ่นยิปซั่ม บอร์ด หนา 9 มม. ชนิดธรรมดา โครงเคร่าเหล็กชุปสังกะสี  ฉาบเรียบรอยต่อ  ทาสีน้ำอะครีลิค</t>
  </si>
  <si>
    <t xml:space="preserve">       - เคาเตอร์เตรียมอาหารรวมอ่างล้างจาน 2 หลุม (BUILT-IN FURNITURE)</t>
  </si>
  <si>
    <t xml:space="preserve">    รวมราคางานเปลี่ยนห้องเรียนคอมพิวเตอร์เป็นห้องครัวและรับประทานอาหาร</t>
  </si>
  <si>
    <t xml:space="preserve">       - ทาสีประตูเดิม</t>
  </si>
  <si>
    <t>ระบบเรียกพยาบาล (Nurse call) ขนาด 12 จุด</t>
  </si>
  <si>
    <t xml:space="preserve">       - งานรื้อพื้นกระเบื้องห้องน้ำเดิม</t>
  </si>
  <si>
    <t xml:space="preserve">         - ฝ้าเพดานแผ่นยิปซั่ม บอร์ด หนา 9 มม. ชนิดทนความชื้น โครงเคร่าเหล็กชุปสังกะสี  ฉาบเรียบรอยต่อ  ทาสีน้ำอะครีลิค</t>
  </si>
  <si>
    <t xml:space="preserve">         - D3 : บานเลื่อนเดี่ยว ขนาด 1.20 x 2.30  ม.</t>
  </si>
  <si>
    <t xml:space="preserve">       - D6 : บานเลื่อนเดี่ยว ขนาด 0.90 x 2.30 ม.</t>
  </si>
  <si>
    <t xml:space="preserve">       - D11 : บานเปิดเดี่ยว ขนาด 0.80 x 2.25 ม.</t>
  </si>
  <si>
    <t xml:space="preserve">       - D12 : บานเปิดเดี่ยว ขนาด 0.80 x 2.25 ม.</t>
  </si>
  <si>
    <t xml:space="preserve">        - ก็อกล้างพื้นสแตนเลส</t>
  </si>
  <si>
    <t xml:space="preserve">       - เคาน์เตอร์ คสล. Top หินสังเคราะห์อะครีลิค หนา 12 มม. (Solid Surface)</t>
  </si>
  <si>
    <t xml:space="preserve">       - Top เคาน์เตอร์ห้องอาบน้ำ หินสังเคราะห์อะครีลิค หนา 12 มม. (Solid Surface)</t>
  </si>
  <si>
    <t xml:space="preserve">        - Top เคาน์เตอร์หลังห้องอาบน้ำ หินสังเคราะห์อะครีลิค หนา 12 มม. (Solid Surface)</t>
  </si>
  <si>
    <t xml:space="preserve">       - เคาน์เตอร์ คสล. Top หินสังเคราะห์อะครีลิค หนา 12 มม.  (Solid Surface)</t>
  </si>
  <si>
    <t xml:space="preserve">       - Top เคาน์เตอร์หลังสุขภัณฑ์และห้องอาบน้ำ หินสังเคราะห์อะครีลิค หนา 12 มม. (Solid Surface)</t>
  </si>
  <si>
    <t xml:space="preserve">      -  งานรื้อหน้าต่างอลูมิเนียม WP2</t>
  </si>
  <si>
    <t xml:space="preserve">      - เสาเอ็นและทับหลัง</t>
  </si>
  <si>
    <t xml:space="preserve">       -  รื้อประตูอลูมิเนียม AD2</t>
  </si>
  <si>
    <t xml:space="preserve">      -  งานรื้อประตูอลูมิเนียมพร้อมช่องแสง AD1</t>
  </si>
  <si>
    <t xml:space="preserve">       - เสาเอ็นแลทับหลัง</t>
  </si>
  <si>
    <t xml:space="preserve">       - ฝ้าเพดานแผ่นยิปซั่ม บอร์ด หนา 9 มม. ชนิดธรรมดา โครงเคร่าเหล็กชุปสังกะสี  ฉาบเรียบรอยต่อ  ทาสีน้ำอะครีลิค</t>
  </si>
  <si>
    <t xml:space="preserve">      - ฝ้าเพดานแผ่นยิปซั่ม บอร์ด หนา 9 มม. ชนิดธรรมดา โครงเคร่าเหล็กชุปสังกะสี  ฉาบเรียบรอยต่อ  ทาสีน้ำอะครีลิค</t>
  </si>
  <si>
    <t xml:space="preserve">      - ฝ้าเพดานแผ่นยิปซั่ม บอร์ด หนา 9 มม. ชนิดทนชื้น โครงเคร่าเหล็กชุปสังกะสี  ฉาบเรียบรอยต่อ  ทาสีน้ำอะครีลิค</t>
  </si>
  <si>
    <t xml:space="preserve">       - Top เคาน์เตอร์หลังสุขภัณฑ์ หินสังเคราะห์อะครีลิค หนา 12 มม. (Solid Surface)</t>
  </si>
  <si>
    <t xml:space="preserve">      - อ่างล้างมือฝังบนเคาน์เตอร์ทรงเหลี่ยมพร้อมก๊อกเดี่ยวล้างหน้าชนิดก้านโยกและอุปกรณ์ครบชุด</t>
  </si>
  <si>
    <t xml:space="preserve">      -  อ่างล้างหน้าแบบแขวนผนังพร้อมตู้เก็บของใต้อ่างขนาด 770x442x450 มม. ก๊อกเดี่ยวล้างหน้าชนิดก้านโยก และกระจกเงา 0.50x0.70 ม.</t>
  </si>
  <si>
    <t xml:space="preserve">       - ฝ้าเพดานแผ่นยิปซั่ม บอร์ด หนา 9 มม. ชนิดทนชื้น โครงเคร่าเหล็กชุปสังกะสี  ฉาบเรียบรอยต่อ  ทาสีน้ำอะครีลิค</t>
  </si>
  <si>
    <t xml:space="preserve">       - ชั้นวางของกระจก 50x125 มม.</t>
  </si>
  <si>
    <t>งานตกแต่งผนังกั้น ZONE ระหว่างส่วนเวชศาสตร์และส่วนดูแลผู้สูงวัย</t>
  </si>
  <si>
    <t xml:space="preserve">       - รื้อ Roof Drain และกระเบื้อง </t>
  </si>
  <si>
    <t xml:space="preserve">  - Fitting &amp; Hanger &amp; Support</t>
  </si>
  <si>
    <t xml:space="preserve">  - Fitting &amp; Handger &amp; Support</t>
  </si>
  <si>
    <t xml:space="preserve">  - Fitting &amp; Hanger &amp; Support </t>
  </si>
  <si>
    <t xml:space="preserve"> งานติดตั้ง Septic  Tank ขนาด 10 ลบ.ม. </t>
  </si>
  <si>
    <t xml:space="preserve"> งานติดตั้ง Septic Tank ขนาด 5 ลบ.ม.</t>
  </si>
  <si>
    <t xml:space="preserve">  - งานติดตั้ง Septic tank wwtp -1  5.0 ลบ.ม.</t>
  </si>
  <si>
    <t xml:space="preserve">  - งาน Hanger&amp;Support hotdip galvaized steel</t>
  </si>
  <si>
    <t xml:space="preserve">       -  ปรับระดับพื้น</t>
  </si>
  <si>
    <t xml:space="preserve">       -  หญ้าเทียมสูง 2 ซม. (มาตรฐาน มอก.)</t>
  </si>
  <si>
    <t xml:space="preserve">      - งานรื้อฝ้าเพดานโถงทางเดิน ชั้น 1</t>
  </si>
  <si>
    <t xml:space="preserve">    - งานเสาเอ็นและทับหลัง</t>
  </si>
  <si>
    <t xml:space="preserve">     - งานรื้อผนังยิปซั่ม บอร์ดและประตู</t>
  </si>
  <si>
    <t xml:space="preserve">    - D9 : บานเลื่อนเดี่ยว ขนาด 1.50 x 2.30 ม.</t>
  </si>
  <si>
    <t xml:space="preserve">    - ติดตั้งประตูเดิมและทาสีใหม่</t>
  </si>
  <si>
    <t xml:space="preserve">    - งานเก็บฝ้าเพดาน</t>
  </si>
  <si>
    <t xml:space="preserve">     - งานรื้อประตูบานสวิงคู่ AD4 และช่องแสง</t>
  </si>
  <si>
    <t xml:space="preserve">        - ทาสีน้ำอะครีลิค ชนิดเนียนเรียบ พรีเมียม เกรด (รวมทางเดินหน้าห้อง)</t>
  </si>
  <si>
    <t xml:space="preserve">    - W8 : หน้าต่างกระจกบานกระทุ้ง + ช่องแสง FIX ขนาด 1.25 x 3.00  ม.</t>
  </si>
  <si>
    <t xml:space="preserve"> อ้างอิง GL.1D-1F ≠ A1-B1: งานเปลี่ยนห้องเรียนคอมพิวเตอร์เป็นห้องนวดพิเศษ จำนวน 2 ห้อง</t>
  </si>
  <si>
    <t xml:space="preserve"> อ้างอิง GL.1B-1D ≠ A1-B1 : งานเปลี่ยนห้องสมุดคณะเป็นห้องนวดแผนไทย</t>
  </si>
  <si>
    <t xml:space="preserve">  - งานสำรวจพื้นที่จัดทำแบบ ในการสำรวจ</t>
  </si>
  <si>
    <t xml:space="preserve">    - ฝ้าเพดานแผ่นยิปซั่ม บอร์ด หนา 9 มม.  โครงเคร่าเหล็กชุปสังกะสี  ฉาบเรียบรอยต่อ  ทาสีน้ำอะครีลิค</t>
  </si>
  <si>
    <t xml:space="preserve">    - ฝ้าเพดานแผ่นยิปซั่ม บอร์ด หนา 9 มม. ชนิดทนชื้น โครงเคร่าเหล็กชุปสังกะสี  ฉาบเรียบรอยต่อ  ทาสีน้ำอะครีลิค</t>
  </si>
  <si>
    <t>ปรับปรุงฝ้าเพดานโถงจั่วและโถงกิจกรรม</t>
  </si>
  <si>
    <t xml:space="preserve">       - ฝ้าเพดาน PVC ลายไม้ ติดตั้งตามมาตรฐานผู้ผลิต</t>
  </si>
  <si>
    <t xml:space="preserve"> - พัดลมติดกระจก 100 cfm </t>
  </si>
  <si>
    <t xml:space="preserve"> - พัดลมติดฝ้าเพดาน 50 cfm </t>
  </si>
  <si>
    <t>รวมราคางานระบบปรับอากาศและระบายอากาศทั้งสิ้น</t>
  </si>
  <si>
    <t>งานรื้อถอนโคมไฟฟ้าพร้อมติดตั้งกลับ ชั้น1</t>
  </si>
  <si>
    <t xml:space="preserve">  - รื้อถอนพร้อมติดตั้งคืนโคมไฟฟ้าเดิม (ชนิดตะแกรงฝังฝ้า)</t>
  </si>
  <si>
    <t>โคม</t>
  </si>
  <si>
    <t xml:space="preserve">  - โคมดาวน์ไลท์ฝังฝ้า (8") Panel LED 24W.</t>
  </si>
  <si>
    <t>รวมราคางานรื้อถอนโคมไฟฟ้าพร้อมติดตั้งกลับ ชั้น1</t>
  </si>
  <si>
    <t>งานรื้อถอนโคมไฟฟ้าพร้อมติดตั้งกลับ ชั้น2</t>
  </si>
  <si>
    <t xml:space="preserve">  - Switch วงจรแสงสว่าง ห้องน้ำชั้น2</t>
  </si>
  <si>
    <t>รวมราคางานรื้อถอนโคมไฟฟ้าพร้อมติดตั้งกลับ ชั้น2</t>
  </si>
  <si>
    <t xml:space="preserve">        - ฝ้าเพดานแผ่นยิปซั่ม บอร์ด หนา 9 มม. ชนิดทนความชื้น โครงเคร่าเหล็กชุปสังกะสี  ฉาบเรียบรอยต่อ  ทาสีน้ำอะครีลิค</t>
  </si>
  <si>
    <t xml:space="preserve">        - ฝ้าเพดานแผ่นยิปซั่ม บอร์ด หนา 9 มม. ชนิดธรรมดา โครงเคร่าเหล็กชุปสังกะสี  ฉาบเรียบรอยต่อ  ทาสีน้ำอะครีลิค</t>
  </si>
  <si>
    <t xml:space="preserve">       - ฝ้าเพดานแผ่นยิปซั่ม บอร์ด หนา 9 มม.  โครงเคร่าเหล็กชุปสังกะสี  ฉาบเรียบรอยต่อ  ทาสีน้ำอะครีลิค</t>
  </si>
  <si>
    <t xml:space="preserve">       - ปรับปรุงหลังคา</t>
  </si>
  <si>
    <t xml:space="preserve">       - งานกระเบื้องพอร์ชเลน 24"x24" หนา 10 มม. ชนิดกันลื่น (Drop Off)</t>
  </si>
  <si>
    <t xml:space="preserve">        - ทาสีฝ้าเพดาน สีอะครีลิคสำหรับทาฝ้าเพดาน พรีเมียม เกรด ชนิดเนียนเรียบ</t>
  </si>
  <si>
    <t xml:space="preserve">        - งานปรับระดับธรณีประตูสูง 5 ซม. ประตูหน้าห้องพร้อมแถบกันลื่น 1"</t>
  </si>
  <si>
    <t xml:space="preserve">     - งานปรับระดับธรณีประตูสูง 5 ซม. ประตูหน้าห้องพร้อมแถบกันลื่น 1"</t>
  </si>
  <si>
    <t xml:space="preserve">       - งานปรับระดับธรณีประตูสูง 5 ซม. ประตูหน้าห้องพร้อมแถบกันลื่น 1"</t>
  </si>
  <si>
    <t xml:space="preserve">         - งานปรับระดับธรณีประตูสูง 5 ซม. ประตูหน้าห้องพร้อมแถบกันลื่น 1"</t>
  </si>
  <si>
    <t xml:space="preserve">      - W8 : หน้าต่างกระจกบานกระทุ้ง + ช่องแสง FIX ขนาด 1.25 x 3.00  ม.</t>
  </si>
  <si>
    <t xml:space="preserve">      - งานปรับระดับธรณีประตูสูง 5 ซม. ประตูหน้าห้องพร้อมแถบกันลื่น 1"</t>
  </si>
  <si>
    <t xml:space="preserve">    - งานปรับระดับธรณีประตูสูง 5 ซม. ประตูหน้าห้องพร้อมแถบกันลื่น 1"</t>
  </si>
  <si>
    <t xml:space="preserve">        - F2 - พื้นปูกระเบื้องพอร์ซเลน  ชนิดผิวกันลื่น 24" x 24" เกรด A </t>
  </si>
  <si>
    <t xml:space="preserve">       - F2 - พื้นปูกระเบื้องพอร์ซเลน  ชนิดผิวกันลื่น 24" x 24" เกรด A </t>
  </si>
  <si>
    <t xml:space="preserve">       - ทาสีฝ้าเพดาน สีอะครีลิคสำหรับทาฝ้าเพดาน พรีเมียม เกรด ชนิดเนียนเรียบ</t>
  </si>
  <si>
    <t xml:space="preserve">       - เคาน์เตอร์ คสล. Top หินสังเคราะห์อะครีลิค (Solid Surface)</t>
  </si>
  <si>
    <t xml:space="preserve">       - Top เคาน์เตอร์หลังห้องอาบน้ำ หินสังเคราะห์อะครีลิค (Solid Surface)</t>
  </si>
  <si>
    <t xml:space="preserve">    - ผ3 - ผนังกรุกระเบื้องพอร์ซเลน เกรด A ขนาด 12" x 24" (สูงชนฝ้า 2.70 ม.)</t>
  </si>
  <si>
    <t xml:space="preserve">        - ผ3 - ผนังกรุกระเบื้องพอร์ซเลน เกรด A ขนาด 12" x 24" (สูงชนฝ้า 2.70 ม.)</t>
  </si>
  <si>
    <t xml:space="preserve">      - งานรื้อประตู AD15 + ช่องแสง</t>
  </si>
  <si>
    <t xml:space="preserve">      - งานรื้อหน้าต่าง AW2</t>
  </si>
  <si>
    <t xml:space="preserve">  รวมราคางานเปลี่ยนห้องสื่อสิ่งพิมพ์เป็นห้องไฟฟ้า,ห้องน้ำผู้สูงวัยและห้อง Locker</t>
  </si>
  <si>
    <t xml:space="preserve">      - เคาน์เตอร์พยาบาล รวม D13 (BUILT-IN FURNITURE)</t>
  </si>
  <si>
    <t xml:space="preserve">       - ตัวดูดอากาศ </t>
  </si>
  <si>
    <t xml:space="preserve">        - ผ5 - ผนังแผ่นยิปซั่ม บอร์ด หนา 12 มม. โครงเคร่าเหล็กชุบสังกะสี กรุ 2 ด้าน ฉาบรอบต่อเรียบทาสี ตกแต่งลวดลายให้สวยงาม ติดบัวเชิงผนังไม้สังเคราะห์  4" ทาสี (รวมผนังหน้าห้องน้ำ)</t>
  </si>
  <si>
    <t xml:space="preserve">        - ผ5 - ผนังแผ่นยิปซั่ม บอร์ด หนา 12 มม. โครงเคร่าเหล็กชุบสังกะสี กรุ 2 ด้าน ฉาบรอบต่อเรียบทาสี ตกแต่งลวดลายให้สวยงาม ติดบัวเชิงผนังไม้สังเคราะห์  4" ทาสีอะครีลิค</t>
  </si>
  <si>
    <t xml:space="preserve">       - งานรื้อสุขภัณฑ์</t>
  </si>
  <si>
    <t xml:space="preserve">      - งานรื้อผนังกระจก</t>
  </si>
  <si>
    <t>งานปรับปรุงทางขึ้นด้านข้าง</t>
  </si>
  <si>
    <t>รวมราคางานปรับปรุงทางขึ้นด้านข้าง</t>
  </si>
  <si>
    <t xml:space="preserve">        - บัวเชิงผนังไม้สังเคราะห์ 4" ทาสีอะครีลิค</t>
  </si>
  <si>
    <t xml:space="preserve">       - งานกันซึมเสาล่อฟ้า</t>
  </si>
  <si>
    <t xml:space="preserve"> งานโครงสร้างฐานรับถังบำบัดน้ำเสีย</t>
  </si>
  <si>
    <t>รวมราคางานโครงสร้างฐานรับถังบำบัดน้ำเสีย</t>
  </si>
  <si>
    <t>งานปรับปรุงซุ้มทางเข้าอาคาร</t>
  </si>
  <si>
    <t xml:space="preserve">       - งานปรับปรุงขอบทางเท้า </t>
  </si>
  <si>
    <t xml:space="preserve">       - หลังคา  Shingle Roof</t>
  </si>
  <si>
    <t xml:space="preserve">       - ครอบสัน </t>
  </si>
  <si>
    <t xml:space="preserve">       - ปรับปรุงฝ้าชายคาไฟเบอร์ซีเมนต์(ซ่อมจุดที่ชำรุด)</t>
  </si>
  <si>
    <t>รวมราคางานทาสีภายในชั้น 2 และชั้น 3</t>
  </si>
  <si>
    <t xml:space="preserve">       - งานย้ายต้นไม้พร้อมปลูก</t>
  </si>
  <si>
    <t xml:space="preserve">          - งานซ่อมแผงบังแดด</t>
  </si>
  <si>
    <t>งานทาสีภายในชั้น 1,2 และชั้น 3</t>
  </si>
  <si>
    <t xml:space="preserve">    - รื้อผนังอลูมิเนียมคอมโพสิทพร้อมโครงเหล็ก</t>
  </si>
  <si>
    <t xml:space="preserve">       -  งานปรับระดับทำทางลาด</t>
  </si>
  <si>
    <t xml:space="preserve">       -  ทำความสะอาดพื้นผิวเดิม</t>
  </si>
  <si>
    <t xml:space="preserve">       - ฝ้าเพดานแผ่นยิปซั่ม บอร์ด หนา 9 มม. ชนิดกันร้อน (เคลือบฟอยด์) โครงเคร่าเหล็กชุปสังกะสี  ฉาบเรียบรอยต่อ  ทาสีน้ำอะครีลิค</t>
  </si>
  <si>
    <t xml:space="preserve">         - W8 : หน้าต่างกระจกบานกระทุ้ง + ช่องแสง FIX ขนาด 1.25 x 2.90  ม.</t>
  </si>
  <si>
    <t xml:space="preserve"> อ้างอิง GL.1F-1G ≠ A1 : งานเปลี่ยนประตูทางเข้าด้านหลัง</t>
  </si>
  <si>
    <t xml:space="preserve">       - D1 : บานเลื่อนคู่ + ช่องแสงบาน Fix ขนาด 5.70 x 3.00 ม. (ประตูทางเข้าด้านหลังอาคาร)</t>
  </si>
  <si>
    <t>รวมราคางานเปลี่ยนประตูทางเข้าด้านหลัง</t>
  </si>
  <si>
    <t xml:space="preserve">        - ทาสีน้ำอะครีลิค Organic Care ชนิดเนียนเรียบ  ครีบห้อยโถงทางเดิน,บันใดและโถงจั่ว</t>
  </si>
  <si>
    <t xml:space="preserve">        - ทาสีน้ำอะครีลิค Organic Care ชนิดเนียนเรียบ (รวมผนังด้านข้าง)</t>
  </si>
  <si>
    <t xml:space="preserve">        - ทาสีน้ำอะครีลิค Organic Care ชนิดเนียนเรียบ (ภายในห้อง)</t>
  </si>
  <si>
    <t xml:space="preserve">        - ทาสีน้ำอะครีลิค Organic Care (ภายในห้อง)</t>
  </si>
  <si>
    <t xml:space="preserve">        - ทาสีน้ำอะครีลิค Organic Car (ภายในห้อง)</t>
  </si>
  <si>
    <t xml:space="preserve">        - ทาสีน้ำอะครีลิค Organic Care (โถงทางเดินหน้าห้อง)</t>
  </si>
  <si>
    <t xml:space="preserve">       - ทาสีน้ำอะครีลิค Organic Care</t>
  </si>
  <si>
    <t xml:space="preserve">       - บัวเชิงผนังไม้สังเคราะห์ 4" ทาสีชนิดเดียวกับผนัง</t>
  </si>
  <si>
    <t xml:space="preserve">        - บัวเชิงผนังไม้สังเคราะห์ 4" ทาสีชนิดเดียวกับผนัง</t>
  </si>
  <si>
    <t xml:space="preserve">      - บัวเชิงผนังไม้สังเคราะห์ 4" ทาสีชนิดเดียวกับผนัง</t>
  </si>
  <si>
    <t xml:space="preserve">       - ทาสีน้ำอะครีลิค เกรด A ชนิดเนียนเรียบพร้อมทาน้ำยารองพื้นอเนกประสงค์</t>
  </si>
  <si>
    <t xml:space="preserve">       - ทาสีน้ำอะครีลิค เกรด A ชนิดเนียนเรียบพร้อมทาน้ำยารองพื้นอเนกประสงค์ (รวมฝ้าชายคา)</t>
  </si>
  <si>
    <t xml:space="preserve">         - งานปรับปรุงแผงบังแดด (ทาสีอะครีลิค เกรด A ชนิดเนียนเรียบ)</t>
  </si>
  <si>
    <t xml:space="preserve">       - Top เคาน์เตอร์หลังสุขภัณฑ์หินสังเคราะห์อะครีลิค หนา 12 มม. (Solid Surface)</t>
  </si>
  <si>
    <t xml:space="preserve">       - ผนังหัวเตียง ไม้อัด 4 มม.โครงเคร่าไม้ประสาน 0.30x0.30 # ม. ขนาด 6.30x 1.20  ม. กรุลามิเนตลายไม้ เว้นร่องด้วยเส้นอลูมิเนียมตัว U ช่วงบนกรุ wall paper ชนฝ้าเพดาน </t>
  </si>
  <si>
    <t xml:space="preserve">      -  บัวเชิงผนังและตัวจบ PVC ลายไม้ 4"</t>
  </si>
  <si>
    <t xml:space="preserve">      - Service wall</t>
  </si>
  <si>
    <t>รวมราคางานเปลี่ยนห้องพักผ่อนและรับประทานอาหาร ห้องฝึกประสบการณ์เป็นห้องกายภาพบำบัด, เปลี่ยนห้อง PANTRY เป็น ห้องLab และทำห้องน้ำใหม่</t>
  </si>
  <si>
    <t>ป้ายชื่อศูนย์เวชศาสตร์ฟื้นฟูและดูแลผู้สูงวัยพร้อมตราสัญลักษณ์มหาวิทยาลัยและไฟส่องป้าย</t>
  </si>
  <si>
    <t xml:space="preserve">    - ผนังตกแต่งกั้น ZONE ระหว่างศูนย์เวชศาสตร์และศูนย์ดูแลผู้สูงวัย(รวมหน้าห้องพัก)</t>
  </si>
  <si>
    <t xml:space="preserve">    - ฝ้าไม้อัด 4 มม.โครงไม้ประสาน 03.0x0.30# ปิดผิวด้วยลามิเนตลายไม้ เว้นร่องทำสี บัวเชิงผนังไม้สังเคราะห์ 4" ทาสี</t>
  </si>
  <si>
    <t xml:space="preserve">       - กระจกเงาเต็มหน้าเคาน์เตอร์ ติดแบบกรอบลอย 3.85x1.20 ม. ลบขอบ</t>
  </si>
  <si>
    <t xml:space="preserve">       - กระจกเงาเต็มหน้าเคาน์เตอร์ ติดแบบกรอบลอย 1.30x1.10 ม. ลบขอบ</t>
  </si>
  <si>
    <t xml:space="preserve">       - งานรื้อผนังกระจก WP2</t>
  </si>
  <si>
    <t xml:space="preserve">      - เก็บงานอลูมิเนียม</t>
  </si>
  <si>
    <t>รวมราคางานเปลี่ยนห้องสำนักงานโปรแกรมและห้องศูนย์ข้อมูลเป็นห้องพักพิเศษเดี่ยว จำนวน 2 ห้อง</t>
  </si>
  <si>
    <t xml:space="preserve"> อ้างอิง GL.1I-1J ≠ K1-L1 : งานเปลี่ยนห้องสำนักงานโปรแกรมและห้องศูนย์ข้อมูลเป็นห้องพิเศษเดี่ยว จำนวน 2 ห้อง</t>
  </si>
  <si>
    <t>งานปรับปรุงภายนอกอาคาร</t>
  </si>
  <si>
    <t xml:space="preserve">       -  งานซ่อมผนังแตก</t>
  </si>
  <si>
    <t xml:space="preserve">        - ทาสีน้ำอะครีลิค Organic Care รวมรองพื้น (ภายในห้อง)</t>
  </si>
  <si>
    <t xml:space="preserve">       - งานปิดหัวเสา 4 ต้น</t>
  </si>
  <si>
    <t xml:space="preserve">       - ผนังตกแต่งอลูมิเนียมลายไม้ (Litewood)</t>
  </si>
  <si>
    <t>ห้องตรวจ 5-6 และห้องสังเกตอาการ</t>
  </si>
  <si>
    <t>ห้องพักพิเศษ 6 ห้อง</t>
  </si>
  <si>
    <t>ปรับปรุงศูนย์เวชศาสตร์ฟื้นฟูและดูแลผู้สูงวัย</t>
  </si>
  <si>
    <t>10,045.00 ตร.ม</t>
  </si>
  <si>
    <t xml:space="preserve">พื้นที่ปรับปรุง        </t>
  </si>
  <si>
    <t>มหาวิทยาลัยราชภัอุตรดิตถ์</t>
  </si>
  <si>
    <t xml:space="preserve">    - ม่านกั้นเตียงผู้ป่วย</t>
  </si>
  <si>
    <t xml:space="preserve">    - กล่องใส่กระดาษเช็ดมือ</t>
  </si>
  <si>
    <t xml:space="preserve">   - กล่องใส่กระดาษเช็ดมือ</t>
  </si>
  <si>
    <t xml:space="preserve">    - รั้วไม้จัดสวนหย่อมสีขาว ยาว 90 ซม.  สูง 45 ซม.</t>
  </si>
  <si>
    <t xml:space="preserve">   - ติดตั้งแอร์ inverter 24,000 BTU/ hr</t>
  </si>
  <si>
    <t xml:space="preserve">   - ติดตั้งแอร์ inverter 18,000 BTU/hr </t>
  </si>
  <si>
    <t xml:space="preserve">   - ติดตั้งแอร์ inverter 12,000 BTU/hr</t>
  </si>
  <si>
    <t xml:space="preserve">    - ชุดอ่างหน้าพร้อมตู้เก็บของแบบขวนผนังแล๊ะอกน้ำทรงสูงแบบมือปัดหรือ     ก้านโยก กว้างไม่น้อยกว่า 53 ซม.</t>
  </si>
  <si>
    <t xml:space="preserve">       - ทาสีน้ำอะครีลิค Organic Care  (ภายในห้อง+รวมห้องไฟฟ้า)</t>
  </si>
  <si>
    <t xml:space="preserve">       - ชั้นวางผ้าสแตนเลส ยาว 60 ซม.</t>
  </si>
  <si>
    <t xml:space="preserve">      - ตะแกรงดักกลิ่นสแตนเลสทรงเหลี่ยม</t>
  </si>
  <si>
    <t xml:space="preserve">       - ฝักบัวฉีดชำระสแตนเลส + วาล์วเปิด - ปิดน้ำ </t>
  </si>
  <si>
    <t xml:space="preserve">        - ฝักบัวฉีดชำระสแตนเลส + วาล์วเปิด - ปิดน้ำ </t>
  </si>
  <si>
    <t xml:space="preserve">       - อ่างล้างมือชนิดฝังบนเคาน์เตอร์ทรงเหลี่ยมพร้อมก็อกแบบก้านโยกพร้อมอุปกรณ์ครบชุด</t>
  </si>
  <si>
    <t xml:space="preserve">       - ที่วางสบู่และวางแก้วโลหะชุบโครเมี่ยม</t>
  </si>
  <si>
    <t xml:space="preserve">       - ที่วางสบู่และวางแก้วโลหะชุบโครเมี่ยม </t>
  </si>
  <si>
    <t xml:space="preserve">       - ม่านกั้นอาบน้ำ Textile Polyester 100% เคลือบอะครีลิคทั้ง 2 ด้าน พร้อมราวม่านสแตนเลสและห่วง</t>
  </si>
  <si>
    <t xml:space="preserve">         - ฝักบัวฉีดชำระสแตนเลส + วาล์วเปิด - ปิดน้ำ </t>
  </si>
  <si>
    <t xml:space="preserve">        - ตะแกรงดักกลิ่นสแตนเลสทรงเหลี่ยม</t>
  </si>
  <si>
    <t xml:space="preserve">      - ฝักบัวฉีดชำระสแตนเลส + วาล์วเปิด - ปิดน้ำ </t>
  </si>
  <si>
    <t xml:space="preserve">       -  อ่างล้างหน้าชนิดแขวนผนังพร้อมก๊อกน้ำและอุปกรณ์</t>
  </si>
  <si>
    <t xml:space="preserve">       - ชุดฝักบัวสายอ่อนพลาสติก ABS ผิวเคลือบโครเมี่ยม 3  ระดับ  พร้อมอุปกรณ์ครบชุด</t>
  </si>
  <si>
    <t xml:space="preserve">        - ผ1 -  ผนังก่ออิฐมอญเต็มแผ่น  2 ชั้น ก่อเรียงไม่สลับ ผิวฉาบปูนเรียบ           ความหนารวม 20 ซม.  (ผนังห้อง X-Ray)</t>
  </si>
  <si>
    <t xml:space="preserve">    - ผ4 - ผนังยิปซั่มบอร์ด 12 มม.กรุ 2 ด้าน โครงเคร่าเหล็กชุบสังกะสี ฉาบเรียบรอยต่อ ทาสีอะครีลิค</t>
  </si>
  <si>
    <t xml:space="preserve">       - ผนังหัวเตียงไม้อัด 6 มม.โครงเคร่าไม้ประสาน 0.30x0.30# ม. ขนาด 6.30x 1.20  ม. กรุลาเนตลายไม้ เว้นร่องด้วยเส้นอลูมิเนียมตัว U ช่วงบนกรุ wall paper ชนฝ้าเพดาน</t>
  </si>
  <si>
    <t xml:space="preserve">      - ผนังตกแต่งซุ้มทางเข้า  ผนังไม้อัด 6 มม.โครงไม้ประสาน 03.0x0.30 #          ปิดผิวด้วย  ลามิเนตลายไม้ เว้นร่องด้วยเส้นอลูมิเนียมตัว U ติดบัวเชิงผนังไม้สังเคราะห์ 4" ทาสี</t>
  </si>
  <si>
    <t xml:space="preserve">    - ผนังตกแต่ง - ไม้อัด 6 มม.โครงไม้ประสาน 03.0x0.30# ปิดผิวด้วยลามิเนตลายไม้ เว้นร่องด้วยเส้นอลูมิเนียม บัวเชิงผนังไม้สังเคราะห์ 4" ทาสี (รวมฝ้าเพดาน)</t>
  </si>
  <si>
    <t xml:space="preserve">       - งานปูพื้นกระเบื้องพอร์ชเลน 12"x24" หนา 10 มม. ชนิดกันลื่น</t>
  </si>
  <si>
    <t xml:space="preserve">       - งานกรุผนังกระเบื้อง 0.30 x 0.60 หนา 10 มม.</t>
  </si>
  <si>
    <t xml:space="preserve">       - F2 - พื้นปูกระเบื้องพอร์ซเลน  ชนิดผิวกันลื่น 24" x 24" </t>
  </si>
  <si>
    <t xml:space="preserve">      - D10 : บานเปิดเดี่ยว ขนาด 0.80 x 2.25 ม.</t>
  </si>
  <si>
    <t xml:space="preserve">       - เคาน์เตอร์ห้องการเงินและห้อง LAB</t>
  </si>
  <si>
    <t xml:space="preserve">       - ผนังเหล็กฉลุหนา ไม่น้อยกว่า 1.5 มม. ทำสี 2K (ลายระบุภายหลัง)</t>
  </si>
  <si>
    <t xml:space="preserve">       - ประตู D14</t>
  </si>
  <si>
    <t xml:space="preserve">      - งานป้ายหน้าห้องพลาสวูด 10 มม. ทำสี พร้อมตัวหนังสือ</t>
  </si>
  <si>
    <t xml:space="preserve">       - ฝ้าตกแต่ง-ไม้อัด 4 มม.โครงไม้ประสาน 0.30x0.30# ปิดผิวลามิเนตลายไม้ ซ่อนไฟเส้น LED</t>
  </si>
  <si>
    <t>ห้องตรวจ X Ray และห้องตรวจ 1-5</t>
  </si>
  <si>
    <t>(รวมภาษีมูลค่าเพิ่มแล้ว)</t>
  </si>
  <si>
    <t xml:space="preserve">      -  F4 - พื้นกระเบื้อง SPC Click Lock (Wood Pattern) หนา 4 มม.</t>
  </si>
  <si>
    <t xml:space="preserve">      - ผนังตกแต่ง  ผนังไม้อัด 6 มม.โครงไม้ประสาน 03.0x0.30 #  ปิดผิวด้วย       ลามิเนตลายไม้ เว้นร่องด้วยเส้นอลูมิเนียมตัว U ติดบัวเชิงผนังไม้สังเคราะห์ 4" ทาสี รวมตราสัญลักษณ์และตัวหนังสือ</t>
  </si>
  <si>
    <t xml:space="preserve">       - ผนังห้องน้ำสำเร็จรูป  30 MFF ชนิดกันน้ำ Soft Edge ลายไม้ พร้อมอุปกรณ์</t>
  </si>
  <si>
    <t xml:space="preserve">       - ผนังห้องอาบน้ำสำเร็จรูป  30 MFF ชนิดกันน้ำ Soft Edge ลายไม้ พร้อมอุปกรณ์</t>
  </si>
  <si>
    <t>งานระบบประปาและสุขาภิบาล</t>
  </si>
  <si>
    <t xml:space="preserve">       รวมราคางานป้ายศูนย์เวชศาสตร์ฟื้นฟูฯ</t>
  </si>
  <si>
    <t>งานสถาปัตยกรรม</t>
  </si>
  <si>
    <t>งวดที่ 3</t>
  </si>
  <si>
    <t>งวดที่ 4</t>
  </si>
  <si>
    <t>งวดที่ 5</t>
  </si>
  <si>
    <t xml:space="preserve">   - งานก่อผนังทั้งหมดแล้วเสร็จ</t>
  </si>
  <si>
    <t xml:space="preserve">   - งานฉาบผนังชั้น 1 และชั้น 2 ทั้งหมดแล้วเสร็จ</t>
  </si>
  <si>
    <t xml:space="preserve">   - งานขออนุมัติวัสดุกระเบื้องปูพื้น ผนัง  ฝ้าเพดาน สีทาอาคาร ผนังห้องน้ำสำเร็จรูป สุขภัณฑ์และอุปกรณ์ประกอบห้องน้ำ อลูมิเนียมลายไม้ วัสดุปิดผิวและได้รับการอนุมัติทั้งหมด</t>
  </si>
  <si>
    <t xml:space="preserve">   - งานขออนุมัติวัสดุ ท่อร้อยสายไฟ สายไฟและได้รับการอนุมัติ</t>
  </si>
  <si>
    <t xml:space="preserve">   - งานขออนุมัติเครื่องปรับอากาศและพัดลมระบายอากาศและได้รับการอนุมัติ</t>
  </si>
  <si>
    <t xml:space="preserve">   - งานปรับปรุงหลังคา Shingle Roof และระบบกันซึมเสาล่อฟ้าแล้วเสร็จ</t>
  </si>
  <si>
    <t xml:space="preserve">   - งานติดตั้งสุขภัณฑ์แล้วเสร็จ</t>
  </si>
  <si>
    <t xml:space="preserve">   - งานติดตั้งผนังไม้อัดแล้วเสร็จ</t>
  </si>
  <si>
    <t xml:space="preserve">   - งานติดตั้งโครงเคร่าและไม้อัดเคาน์เตอร์ห้องเตรียมอาหารแล้วเสร็จ</t>
  </si>
  <si>
    <t xml:space="preserve">   - งานทำความสะอาดพื้นผิวเตรียมทาสีรองพื้นและซ่อมแซมผนังแล้วเสร็จ</t>
  </si>
  <si>
    <t xml:space="preserve">    - งานระบบไฟฟ้าจ่าย LIFT ในอาคาร 2 ตัว แล้วเสร็จ</t>
  </si>
  <si>
    <t xml:space="preserve">   - งานระบบ Fire Alarm &amp; CCTV ติดห้องฉุกเฉินแล้วเสร็จ</t>
  </si>
  <si>
    <t xml:space="preserve">   - งานระบบระบายอากาศทั้งหมดแล้วเสร็จ</t>
  </si>
  <si>
    <t xml:space="preserve">   - งานติดตั้งพื้นกระเบื้อง SPC ห้องกายภาพทั้งหมดแล้วเสร็จ</t>
  </si>
  <si>
    <t xml:space="preserve">   - งานไม้อัดฝ้าตกแต่งทั้งหมดแล้วเสร็จ</t>
  </si>
  <si>
    <t xml:space="preserve">   - งานติดตั้งผนังห้องน้ำสำเร็จรูปทั้งหมดแล้วเสร็จ</t>
  </si>
  <si>
    <t xml:space="preserve">   - งานติดตั้งอุปกรณ์ประกอบห้องน้ำทั้งหมดแล้วเสร็จ</t>
  </si>
  <si>
    <t xml:space="preserve">   - งานผนังหัวเตียงทั้งหมดแล้วเสร็จ</t>
  </si>
  <si>
    <t xml:space="preserve">   - งานทาสีผนังภายในทั้งหมดแล้วเสร็จ</t>
  </si>
  <si>
    <t xml:space="preserve">   - งานปิดผิวลามิเนตตกแต่งทั้งหมดแล้วเสร็จ</t>
  </si>
  <si>
    <t xml:space="preserve">   - งานติดตั้งบัวเชิงผนังไม้สังเคราะห์ 4" ทั้งหมดแล้วเสร็จ</t>
  </si>
  <si>
    <t xml:space="preserve">   - งานระบบประปาภายในอาคารทั้งหมดแล้วเสร็จ</t>
  </si>
  <si>
    <t xml:space="preserve">   -  รื้อฝ้าเพดาน T-Bar พร้อมโครงเคร่า</t>
  </si>
  <si>
    <t xml:space="preserve">   -  รื้อประตูหน้าต่างพร้อมวงกบไม้และอลูมิเนียม</t>
  </si>
  <si>
    <t xml:space="preserve">   -  ติดตั้งฝ้าเพดานยิปซั่มบอร์ด 9 มม.โครงเคร่าเหล็กชุปสังกะสี ฉาบเรียบรอยต่อ</t>
  </si>
  <si>
    <t xml:space="preserve">   -  ก่อผนังอิฐมวลเบาฉาบปูนทาสีและติดตั้งบัวเชิงผนังไม้สังเคราะห์ 4"</t>
  </si>
  <si>
    <t xml:space="preserve">   -  ปูกระเบื้องพื้นพอร์ซเลน 24"x24" และกระเบื้องผนัง 12"x24"</t>
  </si>
  <si>
    <t xml:space="preserve">   -  ติดตั้งสุขภัณฑ์และอุปกรณ์ประกอบห้องน้ำ</t>
  </si>
  <si>
    <t xml:space="preserve">   -  ทาสีน้ำอะครีลิค เกรด A</t>
  </si>
  <si>
    <t xml:space="preserve">   -  งานตกแต่งภายในและ Builtin</t>
  </si>
  <si>
    <t xml:space="preserve">   - ปรับปรุงระบบไฟฟ้าระบบปรับอากาศและระบายอากาศ</t>
  </si>
  <si>
    <t xml:space="preserve">   - ปรับปรุงระบบประปาและสุขาภิบาล</t>
  </si>
  <si>
    <t xml:space="preserve">   - งานติดตั้งประตูทั้งหมดแล้วเสร็จ</t>
  </si>
  <si>
    <t xml:space="preserve">   - งานติดตั้งผนังกั้น Zone ทั้งหมดแล้วเสร็จ</t>
  </si>
  <si>
    <t xml:space="preserve">   - งานจัดภูมิทัศน์ชั้น 1 ทั้งหมดแล้วเสร็จ</t>
  </si>
  <si>
    <t xml:space="preserve">   - งานติดตั้งแผงกันแดดหน้าอาคารทั้งหมดแล้วเสร็จ</t>
  </si>
  <si>
    <t xml:space="preserve">   - งานป้ายชื่อศูนย์ทั้งหมดแล้วเสร็จ</t>
  </si>
  <si>
    <t xml:space="preserve">   - งาน Builtin ทั้งหมดแล้วเสร็จ</t>
  </si>
  <si>
    <t xml:space="preserve">   - งานติดตั้งครุภัณฑ์ทั้งหมดแล้วเสร็จ</t>
  </si>
  <si>
    <t xml:space="preserve">   - งานตามแบบรูปรายการและตามบัญชีแสดงปริมาณวัสดุและแรงงานค่าก่อสร้างตามสัญญาทั้งหมดแล้วเสร็จ</t>
  </si>
  <si>
    <t xml:space="preserve">   - งานเก็บทำความสะอาดพื้นที่ในอาคารและนอกอาคารทั้งหมดแล้วเสร็จ</t>
  </si>
  <si>
    <t xml:space="preserve">   - งานทดสอบระบบไฟฟ้าและสื่อสารทั้งหมดแล้วเสร็จ</t>
  </si>
  <si>
    <t xml:space="preserve">     - งานปรับปรุงระบบป้องกันอัคคีภัย ทั้งหมดแล้วเสร็จ</t>
  </si>
  <si>
    <t xml:space="preserve">    - งานปรับปรุงระบบระบายน้ำอาคาร ชั้น 1 ทั้งหมดแล้วเสร็จ</t>
  </si>
  <si>
    <t>รวมราคางานปรับปรุงภายนอกอาคาร</t>
  </si>
  <si>
    <t xml:space="preserve">       - งานฝ้าเพดาน</t>
  </si>
  <si>
    <t xml:space="preserve">      -  F4 - พื้นกระเบื้อง SPC Click Lock ขนาดไม่น้อยกว่า 180x1220 mm. /5  mm. (with Foam)</t>
  </si>
  <si>
    <t>ทุ่งกะโล่</t>
  </si>
  <si>
    <t xml:space="preserve">  150  วัน                                                                        </t>
  </si>
  <si>
    <t xml:space="preserve">   - งานฝ้าเพดานรวมทาสีทั้งหมดแล้วเสร็จ</t>
  </si>
  <si>
    <t xml:space="preserve">  - งานติดตั้ง Septic tank wwtp -2    10 m3</t>
  </si>
  <si>
    <t xml:space="preserve">   - งานระบบปรับอากาศและระบายอากาศพร้อมงานทดสอบระบบทั้งหมดแล้วเสร็จ</t>
  </si>
  <si>
    <t xml:space="preserve">    - ชุดอ่างหน้าพร้อมตู้เก็บของแบบขวนผนังแล๊ะอกน้ำทรงสูงแบบมือปัดหรือก้านโยก กว้างไม่น้อยกว่า 53 ซม.</t>
  </si>
  <si>
    <t xml:space="preserve">   - ติดตั้งแอร์ inverter 36,000 BTU/hr</t>
  </si>
  <si>
    <t xml:space="preserve">   - ติดตั้งแอร์ inverter  9,000 BTU/hr</t>
  </si>
  <si>
    <t>เครื่องปรับอากาศติดผนังชนิด inverter</t>
  </si>
  <si>
    <t xml:space="preserve">   - งานเดินระบบท่อ EMT ชั้น 1 ทั้งหมดแล้วเสร็จ</t>
  </si>
  <si>
    <t xml:space="preserve">   - งานรื้อถอนทั้งหมด และงานสกัดพื้นทั้งหมดแล้วเสร็จ</t>
  </si>
  <si>
    <t>\</t>
  </si>
  <si>
    <t xml:space="preserve">   - งานปรับปรุงและเปลี่ยนแปลงระบบบำบัดเดิมทั้งหมดแล้วเสร็จ</t>
  </si>
  <si>
    <t xml:space="preserve"> - สายไฟฟ้าและวัสดุสิ้นเปลืองงานติดตั้งระบบแอร์ inverter ชั้น 1 </t>
  </si>
  <si>
    <t xml:space="preserve"> งานติดตั้งเครื่องปรับอากาศ ชั้น 1</t>
  </si>
  <si>
    <t>รวมราคางานติดตั้งเครื่องปรับอากาศ ชั้น 1</t>
  </si>
  <si>
    <t>งวดที่ 6</t>
  </si>
  <si>
    <t xml:space="preserve">   - งานติดตั้งฝ้าเพดานยิปซั่มบอร์ด ชั้น 1 และชั้น 2 แล้วเสร็จ</t>
  </si>
  <si>
    <t xml:space="preserve">   - งานปรับปรุงซุ้มทางเข้าอาคาร ทั้งหมดแล้วเสร็จ</t>
  </si>
  <si>
    <t xml:space="preserve">   - งานทาสีรองพื้นผนังภายนอกทั้งหมดแล้วเสร็จ</t>
  </si>
  <si>
    <t xml:space="preserve">   - งานโครงสร้างพร้อมติดตั้ง Septic Tank  ขนาด 10 ลบ.ม ทั้งหมดแล้วเสร็จ</t>
  </si>
  <si>
    <t xml:space="preserve">   - งานโครงสร้างพร้อมติดตั้ง Septic Tank  ขนาด 5 ลบ.ม ทั้งหมดแล้วเสร็จ</t>
  </si>
  <si>
    <t xml:space="preserve">   - งานติดตั้งฝ้าเพดานโถงกิจกรรมทั้งหมดแล้วเสร็จ</t>
  </si>
  <si>
    <t xml:space="preserve">   - งานทาสีฝ้าเพดานภายในห้องชั้น 1และ ชั้น 2  แล้วเสร็จ</t>
  </si>
  <si>
    <t xml:space="preserve">    - งานระบบไฟฟ้า Main Gen.จ่ายระบบ Pump น้ำดี ตัวใหม่ด้านข้างอาคารแล้วเสร็จ</t>
  </si>
  <si>
    <t xml:space="preserve">   - งานติดตั้งฝ้าเพดานยิปซั่ม บอร์ด ชั้น 1 แล้วเสร็จ 50%</t>
  </si>
  <si>
    <t xml:space="preserve">   - งานติดตั้งโครงเคร่าฝ้าเพดานโถงกิจกรรมแล้วเสร็จ 50%</t>
  </si>
  <si>
    <t xml:space="preserve">   - งาน Rewiring วงจรไฟฟ้าชั้น 1 แล้วเสร็จ 80% </t>
  </si>
  <si>
    <t xml:space="preserve">   - งานรื้อถอนโคมไฟฟ้า ชั้น 1 และชั้น 2 แล้วเสร็จ</t>
  </si>
  <si>
    <t xml:space="preserve">   - งานเดินท่อ EMT ระบบปรับอากาศและระบายอากาศทั้งหมดแล้วเสร็จ (ยกเว้นห้องพักรวมหญิงและพักรวมชาย)</t>
  </si>
  <si>
    <t xml:space="preserve">   - งาน scan พื้นและส่งเอกสารประกอบในงานวิศวกรรมและได้รับการอนุมัติ</t>
  </si>
  <si>
    <t xml:space="preserve">   - งาน Coring พื้น ชั้น 1,ชั้น 2,และชั้น 3 ทั้งหมดแล้วเสร็จ</t>
  </si>
  <si>
    <t xml:space="preserve">   - งานเดินระบบประปาสุขาภิบาล ชั้น 1,ชั้น 2,และชั้น 3  แล้วเสร็จ 80% </t>
  </si>
  <si>
    <t xml:space="preserve">    - งานเดินท่อระบบน้ำ Soil &amp; Waste ห้องน้ำชั้น 1,ชั้น  2 และ ชั้น 3 แล้วเสร็จ 90%</t>
  </si>
  <si>
    <t xml:space="preserve">   - งานติดตั้งฝ้าเพดานโถงกิจกรรมแล้วเสร็จ 50%</t>
  </si>
  <si>
    <t xml:space="preserve">   - งานปูกระเบื้องพอร์ซเลน 12"x24"  ชั้น 1 และ ชั้น 2 แล้วเสร็จ (ยกเว้นโถงทางเข้า)</t>
  </si>
  <si>
    <t xml:space="preserve">   - งานปูกระเบื้องพอร์ซเลน 24"x24"  ชั้น 1 และ ชั้น 2 แล้วเสร็จ (ยกเว้นโถงทางเข้า)</t>
  </si>
  <si>
    <t xml:space="preserve">   - งานย้ายต้นไม้พร้อมปลูก</t>
  </si>
  <si>
    <t xml:space="preserve">   - งานระบบร้อยสายไฟชั้น 1 และ ชั้น 2 แล้วเสร็จ</t>
  </si>
  <si>
    <t xml:space="preserve">   - งานระบบไฟฟ้าจ่ายระบบบำบัดน้ำเสียแล้วเสร็จ 90%</t>
  </si>
  <si>
    <t xml:space="preserve">   - งานระบบไฟฟ้า Emergency จ่ายระบบแสงสว่างภายในอาคารแล้วเสร็จ 90%</t>
  </si>
  <si>
    <t xml:space="preserve">   - งานระบบไฟฟ้า Emergency จ่ายห้อง Server ใหม่แล้วเสร็จ 90%</t>
  </si>
  <si>
    <t xml:space="preserve">   - งานระบบไฟฟ้า จ่ายตู้ Power ห้อง X-Ray แล้วเสร็จ 90%</t>
  </si>
  <si>
    <t xml:space="preserve">   - งานติดตั้งโคมเดิมกลับ ชั้น 1 ชั้น 2 แล้วเสร็จ (ยกเว้นโถงทางเข้า)</t>
  </si>
  <si>
    <t xml:space="preserve">   - งานระบบไฟฟ้าสำหรับเตรียมติดตั้งงานปรับอากาศและงานระบายอากาศแล้วเสร็จ 80% (ยกเว้นห้องพักรวมหญิงและห้องพักรวมชาย)</t>
  </si>
  <si>
    <t xml:space="preserve">   - งานเดินท่อน้ำยาเครื่องปรับอากาศทั้งหมดแล้วเสร็จ (ยกเว้นห้องพักรวมหญิงและห้องพักรวมชาย)</t>
  </si>
  <si>
    <t xml:space="preserve">   - งานติดตั้งประตูและหน้าต่างอลูมิเนียม ชั้น 1 และ ชั้น 2 แล้วเสร็จ</t>
  </si>
  <si>
    <t xml:space="preserve">   - ทาสีน้ำอะครีลิค Organic Care ชนิดเนียนเรียบ  ครีบห้อยโถงทางเดิน,บันใดและโถงจั่วทั้งหมดแล้วเสร็จ</t>
  </si>
  <si>
    <t xml:space="preserve">   - งานทาสีผนังภายในอาคารทั้งหมดแล้วเสร็จ</t>
  </si>
  <si>
    <t xml:space="preserve">   - งานเคาน์เตอร์ห้องเตีรยมอาหารและตัวดูดกลิ่นอาหารทั้งหมดแล้วเสร็จ</t>
  </si>
  <si>
    <t xml:space="preserve">   - งาน Builtin เคาน์เตอร์พยาบาลทั้งหมดแล้วเสร็จ</t>
  </si>
  <si>
    <t xml:space="preserve">     - งานติดตั้งระบบเรียกพยาบาล (Nurse call) ขนาด 12 จุด จำนวน 3 ชุด ทั้งหมดแล้วเสร็จ</t>
  </si>
  <si>
    <t xml:space="preserve">   - งานติดตั้งระบบปรับอากาศ ชั้น 1 แล้วเสร็จ 20%</t>
  </si>
  <si>
    <t xml:space="preserve">  - งานสาย THW 2X2.5mm2 ห้องน้ำ ชั้น 2</t>
  </si>
  <si>
    <t>รวมราคางานปรับปรุงซุ้มทางเข้าอาคาร</t>
  </si>
  <si>
    <t>รวมราคางานปรับปรุง ชั้น 2 ทั้งสิ้น</t>
  </si>
  <si>
    <t>6 งวดงาน</t>
  </si>
  <si>
    <t xml:space="preserve">   - งานติดตั้งชุดอ่างหน้าพร้อมตู้เก็บของแบบขวนผนังและก็อกน้ำทรงสูงแบบมือปัดหรือก้านโยก กว้างไม่น้อยกว่า 53 ซม.ห้องตรวจ X Ray และห้องตรวจ 1-5  และห้องตรวจ 5-6 และห้องสังเกตุการณ์ทั้งหมดแล้วเสร็จ</t>
  </si>
  <si>
    <t xml:space="preserve">   -  ติดตั้งราวม่านกั้นเตียงผู้ป่วยทั้งหมดแล้วเสร็จ</t>
  </si>
  <si>
    <t xml:space="preserve">   - งานทาสีผนังภายนอกทั้งหมดแล้วเสร็จ</t>
  </si>
  <si>
    <t xml:space="preserve">   - งานทาสีผนังภายนอกด้านที่ 1 และ ด้านที่ 2 รวมแผงกันบังแดด (เดิม)ทั้งหมดแล้วเสร็จ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</si>
</sst>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THB&quot;#,##0_);\(&quot;THB&quot;#,##0\)"/>
    <numFmt numFmtId="188" formatCode="&quot;THB&quot;#,##0_);[Red]\(&quot;THB&quot;#,##0\)"/>
    <numFmt numFmtId="189" formatCode="&quot;THB&quot;#,##0.00_);\(&quot;THB&quot;#,##0.00\)"/>
    <numFmt numFmtId="190" formatCode="&quot;THB&quot;#,##0.00_);[Red]\(&quot;THB&quot;#,##0.00\)"/>
    <numFmt numFmtId="191" formatCode="_(&quot;THB&quot;* #,##0_);_(&quot;THB&quot;* \(#,##0\);_(&quot;THB&quot;* &quot;-&quot;_);_(@_)"/>
    <numFmt numFmtId="192" formatCode="_(* #,##0_);_(* \(#,##0\);_(* &quot;-&quot;_);_(@_)"/>
    <numFmt numFmtId="193" formatCode="_(&quot;THB&quot;* #,##0.00_);_(&quot;THB&quot;* \(#,##0.00\);_(&quot;THB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0.0000"/>
    <numFmt numFmtId="200" formatCode="#,##0.0000"/>
    <numFmt numFmtId="201" formatCode="0.000"/>
    <numFmt numFmtId="202" formatCode="0.0%"/>
    <numFmt numFmtId="203" formatCode="[$-41E]General"/>
    <numFmt numFmtId="204" formatCode="_-* #,##0.00_-;\-* #,##0.00_-;_-* &quot;-&quot;??_-;_-@"/>
    <numFmt numFmtId="205" formatCode="0.0"/>
    <numFmt numFmtId="206" formatCode="_-* #,##0_-;\-* #,##0_-;_-* &quot;-&quot;??_-;_-@"/>
    <numFmt numFmtId="207" formatCode="_-* #,##0.0_-;\-* #,##0.0_-;_-* &quot;-&quot;??_-;_-@"/>
    <numFmt numFmtId="208" formatCode="_-* #,##0.0_-;\-* #,##0.0_-;_-* &quot;-&quot;??_-;_-@_-"/>
    <numFmt numFmtId="209" formatCode="_-* #,##0.000_-;\-* #,##0.000_-;_-* &quot;-&quot;??_-;_-@_-"/>
    <numFmt numFmtId="210" formatCode="_-* #,##0.0000_-;\-* #,##0.0000_-;_-* &quot;-&quot;??_-;_-@_-"/>
    <numFmt numFmtId="211" formatCode="_-* #,##0.000_-;\-* #,##0.000_-;_-* &quot;-&quot;???_-;_-@_-"/>
  </numFmts>
  <fonts count="54">
    <font>
      <sz val="14"/>
      <name val="Cordia New"/>
      <family val="0"/>
    </font>
    <font>
      <b/>
      <sz val="16"/>
      <name val="BrowalliaUPC"/>
      <family val="2"/>
    </font>
    <font>
      <sz val="14"/>
      <name val="BrowalliaUPC"/>
      <family val="2"/>
    </font>
    <font>
      <b/>
      <sz val="14"/>
      <name val="BrowalliaUPC"/>
      <family val="2"/>
    </font>
    <font>
      <sz val="8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8"/>
      <name val="BrowalliaUPC"/>
      <family val="2"/>
    </font>
    <font>
      <b/>
      <sz val="14"/>
      <color indexed="10"/>
      <name val="BrowalliaUPC"/>
      <family val="2"/>
    </font>
    <font>
      <sz val="14"/>
      <color indexed="10"/>
      <name val="Browall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0"/>
      <name val="Arial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name val="TH Sarabun New"/>
      <family val="2"/>
    </font>
    <font>
      <sz val="14"/>
      <name val="TH Sarabun New"/>
      <family val="2"/>
    </font>
    <font>
      <b/>
      <sz val="16"/>
      <name val="TH Sarabun New"/>
      <family val="2"/>
    </font>
    <font>
      <b/>
      <sz val="14"/>
      <name val="TH Sarabun New"/>
      <family val="2"/>
    </font>
    <font>
      <sz val="16"/>
      <name val="TH Sarabun New"/>
      <family val="2"/>
    </font>
    <font>
      <sz val="18"/>
      <name val="TH Sarabun New"/>
      <family val="2"/>
    </font>
    <font>
      <b/>
      <i/>
      <sz val="18"/>
      <name val="TH Sarabun New"/>
      <family val="2"/>
    </font>
    <font>
      <sz val="14"/>
      <name val="Angsana New"/>
      <family val="1"/>
    </font>
    <font>
      <sz val="14"/>
      <color indexed="8"/>
      <name val="TH Sarabun New"/>
      <family val="2"/>
    </font>
    <font>
      <b/>
      <sz val="14"/>
      <color indexed="8"/>
      <name val="TH Sarabun New"/>
      <family val="2"/>
    </font>
    <font>
      <sz val="12"/>
      <name val="TH Sarabun New"/>
      <family val="2"/>
    </font>
    <font>
      <b/>
      <sz val="13"/>
      <name val="TH Sarabun New"/>
      <family val="2"/>
    </font>
    <font>
      <sz val="14"/>
      <color indexed="8"/>
      <name val="Cordia New"/>
      <family val="2"/>
    </font>
    <font>
      <sz val="10"/>
      <color indexed="8"/>
      <name val="Arial"/>
      <family val="2"/>
    </font>
    <font>
      <sz val="18"/>
      <color indexed="10"/>
      <name val="TH Sarabun New"/>
      <family val="2"/>
    </font>
    <font>
      <sz val="14"/>
      <color indexed="10"/>
      <name val="TH Sarabun New"/>
      <family val="2"/>
    </font>
    <font>
      <sz val="14"/>
      <color indexed="8"/>
      <name val="Angsana New"/>
      <family val="1"/>
    </font>
    <font>
      <sz val="14"/>
      <color theme="1"/>
      <name val="Cordia New"/>
      <family val="2"/>
    </font>
    <font>
      <sz val="11"/>
      <color rgb="FFFA7D00"/>
      <name val="Calibri"/>
      <family val="2"/>
    </font>
    <font>
      <sz val="14"/>
      <color rgb="FF000000"/>
      <name val="Cordia New"/>
      <family val="2"/>
    </font>
    <font>
      <sz val="10"/>
      <color theme="1"/>
      <name val="Arial"/>
      <family val="2"/>
    </font>
    <font>
      <sz val="18"/>
      <color rgb="FFFF0000"/>
      <name val="TH Sarabun New"/>
      <family val="2"/>
    </font>
    <font>
      <sz val="14"/>
      <color rgb="FFFF0000"/>
      <name val="TH Sarabun New"/>
      <family val="2"/>
    </font>
    <font>
      <sz val="14"/>
      <color theme="1"/>
      <name val="TH Sarabun New"/>
      <family val="2"/>
    </font>
    <font>
      <sz val="14"/>
      <color theme="1"/>
      <name val="Angsana New"/>
      <family val="1"/>
    </font>
    <font>
      <b/>
      <sz val="14"/>
      <color theme="1"/>
      <name val="TH Sarabun New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-0.24997000396251678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>
        <color rgb="FF000000"/>
      </left>
      <right style="thin">
        <color rgb="FF000000"/>
      </right>
      <top style="hair"/>
      <bottom style="hair"/>
    </border>
    <border>
      <left style="thin">
        <color rgb="FF000000"/>
      </left>
      <right style="thin"/>
      <top style="hair"/>
      <bottom style="hair"/>
    </border>
    <border>
      <left style="medium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>
        <color rgb="FF000000"/>
      </right>
      <top style="hair"/>
      <bottom style="hair"/>
    </border>
    <border>
      <left style="thin"/>
      <right/>
      <top style="hair"/>
      <bottom style="thin"/>
    </border>
    <border>
      <left style="medium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>
        <color indexed="63"/>
      </bottom>
    </border>
    <border>
      <left/>
      <right style="thin">
        <color rgb="FF000000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>
        <color rgb="FF000000"/>
      </left>
      <right style="thin">
        <color rgb="FF000000"/>
      </right>
      <top style="thin"/>
      <bottom style="hair"/>
    </border>
    <border>
      <left style="thin">
        <color rgb="FF000000"/>
      </left>
      <right style="thin"/>
      <top style="thin"/>
      <bottom style="hair"/>
    </border>
    <border>
      <left style="thin">
        <color rgb="FF000000"/>
      </left>
      <right style="thin">
        <color rgb="FF000000"/>
      </right>
      <top style="hair"/>
      <bottom style="thin"/>
    </border>
    <border>
      <left style="thin">
        <color rgb="FF000000"/>
      </left>
      <right style="thin"/>
      <top style="hair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3" fillId="3" borderId="0" applyNumberFormat="0" applyBorder="0" applyAlignment="0" applyProtection="0"/>
    <xf numFmtId="0" fontId="12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3" fontId="45" fillId="0" borderId="0">
      <alignment/>
      <protection/>
    </xf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" borderId="1" applyNumberFormat="0" applyAlignment="0" applyProtection="0"/>
    <xf numFmtId="0" fontId="46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10" applyNumberFormat="0" applyFill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203" fontId="48" fillId="0" borderId="0">
      <alignment/>
      <protection/>
    </xf>
    <xf numFmtId="9" fontId="10" fillId="0" borderId="0" applyFont="0" applyFill="0" applyBorder="0" applyAlignment="0" applyProtection="0"/>
  </cellStyleXfs>
  <cellXfs count="843">
    <xf numFmtId="0" fontId="0" fillId="0" borderId="0" xfId="0" applyAlignment="1">
      <alignment/>
    </xf>
    <xf numFmtId="0" fontId="0" fillId="24" borderId="0" xfId="73" applyFill="1">
      <alignment/>
      <protection/>
    </xf>
    <xf numFmtId="0" fontId="2" fillId="20" borderId="11" xfId="73" applyFont="1" applyFill="1" applyBorder="1" applyAlignment="1">
      <alignment horizontal="center" vertical="top"/>
      <protection/>
    </xf>
    <xf numFmtId="0" fontId="2" fillId="20" borderId="12" xfId="73" applyFont="1" applyFill="1" applyBorder="1" applyAlignment="1">
      <alignment horizontal="center" vertical="top"/>
      <protection/>
    </xf>
    <xf numFmtId="0" fontId="2" fillId="20" borderId="13" xfId="73" applyFont="1" applyFill="1" applyBorder="1" applyAlignment="1">
      <alignment horizontal="center" vertical="top"/>
      <protection/>
    </xf>
    <xf numFmtId="0" fontId="2" fillId="20" borderId="14" xfId="73" applyFont="1" applyFill="1" applyBorder="1" applyAlignment="1">
      <alignment horizontal="center" vertical="top"/>
      <protection/>
    </xf>
    <xf numFmtId="0" fontId="2" fillId="20" borderId="15" xfId="73" applyFont="1" applyFill="1" applyBorder="1" applyAlignment="1">
      <alignment horizontal="center" vertical="top"/>
      <protection/>
    </xf>
    <xf numFmtId="0" fontId="0" fillId="20" borderId="15" xfId="73" applyFill="1" applyBorder="1">
      <alignment/>
      <protection/>
    </xf>
    <xf numFmtId="0" fontId="2" fillId="20" borderId="16" xfId="73" applyFont="1" applyFill="1" applyBorder="1" applyAlignment="1">
      <alignment horizontal="center" vertical="top"/>
      <protection/>
    </xf>
    <xf numFmtId="0" fontId="2" fillId="20" borderId="17" xfId="73" applyFont="1" applyFill="1" applyBorder="1" applyAlignment="1">
      <alignment horizontal="center" vertical="top"/>
      <protection/>
    </xf>
    <xf numFmtId="0" fontId="2" fillId="20" borderId="18" xfId="73" applyFont="1" applyFill="1" applyBorder="1" applyAlignment="1">
      <alignment horizontal="center" vertical="top"/>
      <protection/>
    </xf>
    <xf numFmtId="0" fontId="2" fillId="20" borderId="17" xfId="73" applyFont="1" applyFill="1" applyBorder="1" applyAlignment="1">
      <alignment vertical="top"/>
      <protection/>
    </xf>
    <xf numFmtId="0" fontId="2" fillId="20" borderId="13" xfId="73" applyFont="1" applyFill="1" applyBorder="1" applyAlignment="1">
      <alignment vertical="top"/>
      <protection/>
    </xf>
    <xf numFmtId="0" fontId="2" fillId="24" borderId="0" xfId="73" applyFont="1" applyFill="1">
      <alignment/>
      <protection/>
    </xf>
    <xf numFmtId="0" fontId="1" fillId="0" borderId="0" xfId="73" applyFont="1" applyAlignment="1">
      <alignment horizontal="center" vertical="top"/>
      <protection/>
    </xf>
    <xf numFmtId="200" fontId="3" fillId="0" borderId="19" xfId="73" applyNumberFormat="1" applyFont="1" applyBorder="1" applyAlignment="1">
      <alignment horizontal="left" vertical="top"/>
      <protection/>
    </xf>
    <xf numFmtId="0" fontId="3" fillId="0" borderId="19" xfId="73" applyFont="1" applyBorder="1" applyAlignment="1">
      <alignment horizontal="center" vertical="top"/>
      <protection/>
    </xf>
    <xf numFmtId="0" fontId="2" fillId="0" borderId="19" xfId="73" applyFont="1" applyBorder="1" applyAlignment="1">
      <alignment horizontal="center" vertical="top"/>
      <protection/>
    </xf>
    <xf numFmtId="0" fontId="0" fillId="0" borderId="19" xfId="73" applyBorder="1">
      <alignment/>
      <protection/>
    </xf>
    <xf numFmtId="0" fontId="0" fillId="0" borderId="12" xfId="73" applyBorder="1">
      <alignment/>
      <protection/>
    </xf>
    <xf numFmtId="0" fontId="2" fillId="0" borderId="14" xfId="73" applyFont="1" applyBorder="1" applyAlignment="1">
      <alignment vertical="top"/>
      <protection/>
    </xf>
    <xf numFmtId="0" fontId="2" fillId="0" borderId="0" xfId="73" applyFont="1" applyAlignment="1">
      <alignment vertical="top"/>
      <protection/>
    </xf>
    <xf numFmtId="9" fontId="2" fillId="0" borderId="0" xfId="73" applyNumberFormat="1" applyFont="1" applyAlignment="1">
      <alignment horizontal="left" vertical="top"/>
      <protection/>
    </xf>
    <xf numFmtId="9" fontId="2" fillId="0" borderId="0" xfId="73" applyNumberFormat="1" applyFont="1" applyAlignment="1">
      <alignment horizontal="center" vertical="top"/>
      <protection/>
    </xf>
    <xf numFmtId="9" fontId="2" fillId="0" borderId="20" xfId="73" applyNumberFormat="1" applyFont="1" applyBorder="1" applyAlignment="1">
      <alignment horizontal="left" vertical="top"/>
      <protection/>
    </xf>
    <xf numFmtId="0" fontId="2" fillId="0" borderId="16" xfId="73" applyFont="1" applyBorder="1" applyAlignment="1">
      <alignment vertical="top"/>
      <protection/>
    </xf>
    <xf numFmtId="0" fontId="2" fillId="0" borderId="21" xfId="73" applyFont="1" applyBorder="1" applyAlignment="1">
      <alignment vertical="top"/>
      <protection/>
    </xf>
    <xf numFmtId="9" fontId="2" fillId="0" borderId="21" xfId="73" applyNumberFormat="1" applyFont="1" applyBorder="1" applyAlignment="1">
      <alignment horizontal="left" vertical="top"/>
      <protection/>
    </xf>
    <xf numFmtId="9" fontId="2" fillId="0" borderId="21" xfId="73" applyNumberFormat="1" applyFont="1" applyBorder="1" applyAlignment="1">
      <alignment vertical="top"/>
      <protection/>
    </xf>
    <xf numFmtId="0" fontId="2" fillId="0" borderId="18" xfId="73" applyFont="1" applyBorder="1" applyAlignment="1">
      <alignment horizontal="left" vertical="top"/>
      <protection/>
    </xf>
    <xf numFmtId="0" fontId="0" fillId="20" borderId="0" xfId="73" applyFill="1">
      <alignment/>
      <protection/>
    </xf>
    <xf numFmtId="0" fontId="2" fillId="0" borderId="22" xfId="73" applyFont="1" applyBorder="1" applyAlignment="1">
      <alignment horizontal="center" vertical="top"/>
      <protection/>
    </xf>
    <xf numFmtId="199" fontId="2" fillId="0" borderId="22" xfId="73" applyNumberFormat="1" applyFont="1" applyBorder="1" applyAlignment="1">
      <alignment horizontal="center" vertical="top"/>
      <protection/>
    </xf>
    <xf numFmtId="199" fontId="2" fillId="0" borderId="23" xfId="73" applyNumberFormat="1" applyFont="1" applyBorder="1" applyAlignment="1">
      <alignment horizontal="center" vertical="top"/>
      <protection/>
    </xf>
    <xf numFmtId="0" fontId="2" fillId="0" borderId="22" xfId="73" applyFont="1" applyBorder="1" applyAlignment="1">
      <alignment horizontal="center" vertical="center"/>
      <protection/>
    </xf>
    <xf numFmtId="200" fontId="8" fillId="0" borderId="22" xfId="73" applyNumberFormat="1" applyFont="1" applyBorder="1" applyAlignment="1">
      <alignment horizontal="center" vertical="center"/>
      <protection/>
    </xf>
    <xf numFmtId="199" fontId="3" fillId="0" borderId="22" xfId="73" applyNumberFormat="1" applyFont="1" applyBorder="1" applyAlignment="1">
      <alignment horizontal="center" vertical="center"/>
      <protection/>
    </xf>
    <xf numFmtId="0" fontId="2" fillId="0" borderId="0" xfId="73" applyFont="1" applyAlignment="1">
      <alignment horizontal="center" vertical="top"/>
      <protection/>
    </xf>
    <xf numFmtId="200" fontId="8" fillId="0" borderId="0" xfId="73" applyNumberFormat="1" applyFont="1" applyAlignment="1">
      <alignment horizontal="center" vertical="top"/>
      <protection/>
    </xf>
    <xf numFmtId="199" fontId="3" fillId="0" borderId="0" xfId="73" applyNumberFormat="1" applyFont="1" applyAlignment="1">
      <alignment horizontal="center" vertical="top"/>
      <protection/>
    </xf>
    <xf numFmtId="199" fontId="2" fillId="24" borderId="0" xfId="73" applyNumberFormat="1" applyFont="1" applyFill="1" applyAlignment="1">
      <alignment horizontal="center" vertical="top"/>
      <protection/>
    </xf>
    <xf numFmtId="200" fontId="9" fillId="0" borderId="0" xfId="73" applyNumberFormat="1" applyFont="1" applyAlignment="1">
      <alignment horizontal="center" vertical="top"/>
      <protection/>
    </xf>
    <xf numFmtId="199" fontId="2" fillId="0" borderId="0" xfId="73" applyNumberFormat="1" applyFont="1" applyAlignment="1">
      <alignment horizontal="center" vertical="top"/>
      <protection/>
    </xf>
    <xf numFmtId="0" fontId="3" fillId="0" borderId="0" xfId="73" applyFont="1" applyAlignment="1">
      <alignment horizontal="left" vertical="top"/>
      <protection/>
    </xf>
    <xf numFmtId="3" fontId="3" fillId="0" borderId="0" xfId="73" applyNumberFormat="1" applyFont="1" applyAlignment="1">
      <alignment horizontal="right" vertical="top"/>
      <protection/>
    </xf>
    <xf numFmtId="0" fontId="2" fillId="0" borderId="0" xfId="73" applyFont="1" applyAlignment="1">
      <alignment horizontal="right" vertical="center"/>
      <protection/>
    </xf>
    <xf numFmtId="199" fontId="2" fillId="0" borderId="0" xfId="73" applyNumberFormat="1" applyFont="1" applyAlignment="1">
      <alignment horizontal="left" vertical="center"/>
      <protection/>
    </xf>
    <xf numFmtId="199" fontId="2" fillId="0" borderId="0" xfId="73" applyNumberFormat="1" applyFont="1" applyAlignment="1">
      <alignment horizontal="center" vertical="center"/>
      <protection/>
    </xf>
    <xf numFmtId="199" fontId="3" fillId="0" borderId="0" xfId="73" applyNumberFormat="1" applyFont="1" applyAlignment="1">
      <alignment horizontal="right" vertical="center"/>
      <protection/>
    </xf>
    <xf numFmtId="199" fontId="3" fillId="0" borderId="0" xfId="73" applyNumberFormat="1" applyFont="1" applyAlignment="1">
      <alignment horizontal="center" vertical="center"/>
      <protection/>
    </xf>
    <xf numFmtId="0" fontId="2" fillId="0" borderId="0" xfId="73" applyFont="1">
      <alignment/>
      <protection/>
    </xf>
    <xf numFmtId="0" fontId="2" fillId="0" borderId="0" xfId="73" applyFont="1" applyAlignment="1">
      <alignment horizontal="left" vertical="center"/>
      <protection/>
    </xf>
    <xf numFmtId="0" fontId="2" fillId="0" borderId="0" xfId="73" applyFont="1" applyAlignment="1">
      <alignment vertical="center"/>
      <protection/>
    </xf>
    <xf numFmtId="0" fontId="2" fillId="0" borderId="0" xfId="73" applyFont="1" applyAlignment="1">
      <alignment horizontal="left"/>
      <protection/>
    </xf>
    <xf numFmtId="199" fontId="2" fillId="0" borderId="0" xfId="73" applyNumberFormat="1" applyFont="1">
      <alignment/>
      <protection/>
    </xf>
    <xf numFmtId="201" fontId="2" fillId="0" borderId="0" xfId="73" applyNumberFormat="1" applyFont="1">
      <alignment/>
      <protection/>
    </xf>
    <xf numFmtId="9" fontId="2" fillId="0" borderId="0" xfId="73" applyNumberFormat="1" applyFont="1" applyAlignment="1">
      <alignment vertical="top"/>
      <protection/>
    </xf>
    <xf numFmtId="0" fontId="2" fillId="0" borderId="0" xfId="73" applyFont="1" applyAlignment="1">
      <alignment horizontal="left" vertical="top"/>
      <protection/>
    </xf>
    <xf numFmtId="0" fontId="2" fillId="0" borderId="11" xfId="73" applyFont="1" applyBorder="1" applyAlignment="1">
      <alignment horizontal="center" vertical="top"/>
      <protection/>
    </xf>
    <xf numFmtId="199" fontId="2" fillId="0" borderId="13" xfId="73" applyNumberFormat="1" applyFont="1" applyBorder="1" applyAlignment="1">
      <alignment horizontal="center" vertical="top"/>
      <protection/>
    </xf>
    <xf numFmtId="199" fontId="2" fillId="0" borderId="14" xfId="73" applyNumberFormat="1" applyFont="1" applyBorder="1" applyAlignment="1">
      <alignment horizontal="center" vertical="top"/>
      <protection/>
    </xf>
    <xf numFmtId="199" fontId="2" fillId="0" borderId="11" xfId="73" applyNumberFormat="1" applyFont="1" applyBorder="1" applyAlignment="1">
      <alignment horizontal="center" vertical="top"/>
      <protection/>
    </xf>
    <xf numFmtId="0" fontId="2" fillId="0" borderId="14" xfId="73" applyFont="1" applyBorder="1" applyAlignment="1">
      <alignment horizontal="center" vertical="top"/>
      <protection/>
    </xf>
    <xf numFmtId="199" fontId="2" fillId="0" borderId="15" xfId="73" applyNumberFormat="1" applyFont="1" applyBorder="1" applyAlignment="1">
      <alignment horizontal="center" vertical="top"/>
      <protection/>
    </xf>
    <xf numFmtId="0" fontId="2" fillId="0" borderId="16" xfId="73" applyFont="1" applyBorder="1" applyAlignment="1">
      <alignment horizontal="center" vertical="top"/>
      <protection/>
    </xf>
    <xf numFmtId="0" fontId="2" fillId="0" borderId="21" xfId="73" applyFont="1" applyBorder="1" applyAlignment="1">
      <alignment horizontal="center" vertical="top"/>
      <protection/>
    </xf>
    <xf numFmtId="199" fontId="2" fillId="0" borderId="17" xfId="73" applyNumberFormat="1" applyFont="1" applyBorder="1" applyAlignment="1">
      <alignment horizontal="center" vertical="top"/>
      <protection/>
    </xf>
    <xf numFmtId="0" fontId="2" fillId="0" borderId="0" xfId="73" applyFont="1" applyAlignment="1">
      <alignment horizontal="center"/>
      <protection/>
    </xf>
    <xf numFmtId="0" fontId="2" fillId="0" borderId="0" xfId="73" applyFont="1" applyAlignment="1">
      <alignment horizontal="center" vertical="center"/>
      <protection/>
    </xf>
    <xf numFmtId="0" fontId="29" fillId="0" borderId="0" xfId="0" applyFont="1" applyAlignment="1">
      <alignment/>
    </xf>
    <xf numFmtId="43" fontId="31" fillId="0" borderId="22" xfId="42" applyFont="1" applyFill="1" applyBorder="1" applyAlignment="1">
      <alignment horizontal="center"/>
    </xf>
    <xf numFmtId="0" fontId="31" fillId="0" borderId="0" xfId="0" applyFont="1" applyAlignment="1">
      <alignment vertical="top" wrapText="1"/>
    </xf>
    <xf numFmtId="0" fontId="29" fillId="0" borderId="0" xfId="0" applyFont="1" applyAlignment="1">
      <alignment vertical="top" wrapText="1"/>
    </xf>
    <xf numFmtId="0" fontId="29" fillId="0" borderId="0" xfId="0" applyFont="1" applyAlignment="1">
      <alignment horizontal="center"/>
    </xf>
    <xf numFmtId="43" fontId="29" fillId="0" borderId="0" xfId="42" applyFont="1" applyAlignment="1">
      <alignment horizontal="right"/>
    </xf>
    <xf numFmtId="0" fontId="29" fillId="0" borderId="0" xfId="76" applyFont="1" applyFill="1">
      <alignment/>
      <protection/>
    </xf>
    <xf numFmtId="0" fontId="29" fillId="0" borderId="0" xfId="76" applyFont="1">
      <alignment/>
      <protection/>
    </xf>
    <xf numFmtId="0" fontId="28" fillId="0" borderId="0" xfId="76" applyFont="1" applyFill="1" applyAlignment="1">
      <alignment/>
      <protection/>
    </xf>
    <xf numFmtId="0" fontId="33" fillId="0" borderId="0" xfId="76" applyFont="1" applyFill="1">
      <alignment/>
      <protection/>
    </xf>
    <xf numFmtId="0" fontId="34" fillId="0" borderId="0" xfId="76" applyFont="1" applyFill="1" applyAlignment="1">
      <alignment/>
      <protection/>
    </xf>
    <xf numFmtId="0" fontId="29" fillId="0" borderId="24" xfId="76" applyFont="1" applyBorder="1">
      <alignment/>
      <protection/>
    </xf>
    <xf numFmtId="0" fontId="34" fillId="0" borderId="24" xfId="76" applyFont="1" applyFill="1" applyBorder="1" applyAlignment="1">
      <alignment horizontal="center"/>
      <protection/>
    </xf>
    <xf numFmtId="0" fontId="34" fillId="0" borderId="24" xfId="76" applyFont="1" applyFill="1" applyBorder="1" applyAlignment="1">
      <alignment/>
      <protection/>
    </xf>
    <xf numFmtId="0" fontId="34" fillId="0" borderId="0" xfId="76" applyFont="1" applyFill="1" applyAlignment="1">
      <alignment horizontal="center"/>
      <protection/>
    </xf>
    <xf numFmtId="0" fontId="29" fillId="0" borderId="0" xfId="76" applyFont="1" applyFill="1" applyBorder="1">
      <alignment/>
      <protection/>
    </xf>
    <xf numFmtId="0" fontId="29" fillId="0" borderId="0" xfId="76" applyFont="1" applyBorder="1">
      <alignment/>
      <protection/>
    </xf>
    <xf numFmtId="0" fontId="32" fillId="0" borderId="0" xfId="76" applyFont="1" applyFill="1">
      <alignment/>
      <protection/>
    </xf>
    <xf numFmtId="0" fontId="29" fillId="0" borderId="25" xfId="0" applyFont="1" applyBorder="1" applyAlignment="1" quotePrefix="1">
      <alignment/>
    </xf>
    <xf numFmtId="0" fontId="29" fillId="0" borderId="26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0" fontId="31" fillId="0" borderId="26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27" xfId="0" applyFont="1" applyBorder="1" applyAlignment="1">
      <alignment horizontal="center"/>
    </xf>
    <xf numFmtId="0" fontId="31" fillId="0" borderId="28" xfId="0" applyFont="1" applyBorder="1" applyAlignment="1">
      <alignment/>
    </xf>
    <xf numFmtId="0" fontId="31" fillId="25" borderId="25" xfId="0" applyFont="1" applyFill="1" applyBorder="1" applyAlignment="1" quotePrefix="1">
      <alignment/>
    </xf>
    <xf numFmtId="0" fontId="31" fillId="25" borderId="27" xfId="0" applyFont="1" applyFill="1" applyBorder="1" applyAlignment="1">
      <alignment horizontal="right"/>
    </xf>
    <xf numFmtId="43" fontId="29" fillId="0" borderId="26" xfId="44" applyFont="1" applyBorder="1" applyAlignment="1">
      <alignment/>
    </xf>
    <xf numFmtId="43" fontId="29" fillId="0" borderId="26" xfId="44" applyFont="1" applyBorder="1" applyAlignment="1">
      <alignment horizontal="center"/>
    </xf>
    <xf numFmtId="43" fontId="29" fillId="0" borderId="26" xfId="44" applyFont="1" applyBorder="1" applyAlignment="1">
      <alignment/>
    </xf>
    <xf numFmtId="43" fontId="35" fillId="0" borderId="0" xfId="42" applyFont="1" applyFill="1" applyBorder="1" applyAlignment="1" applyProtection="1">
      <alignment horizontal="center"/>
      <protection/>
    </xf>
    <xf numFmtId="0" fontId="35" fillId="0" borderId="0" xfId="0" applyFont="1" applyFill="1" applyAlignment="1">
      <alignment/>
    </xf>
    <xf numFmtId="0" fontId="29" fillId="0" borderId="0" xfId="0" applyFont="1" applyAlignment="1" applyProtection="1">
      <alignment/>
      <protection/>
    </xf>
    <xf numFmtId="3" fontId="29" fillId="0" borderId="0" xfId="0" applyNumberFormat="1" applyFont="1" applyAlignment="1" applyProtection="1">
      <alignment/>
      <protection/>
    </xf>
    <xf numFmtId="0" fontId="31" fillId="0" borderId="13" xfId="0" applyFont="1" applyFill="1" applyBorder="1" applyAlignment="1" applyProtection="1">
      <alignment horizontal="center"/>
      <protection/>
    </xf>
    <xf numFmtId="0" fontId="31" fillId="0" borderId="28" xfId="0" applyFont="1" applyFill="1" applyBorder="1" applyAlignment="1" applyProtection="1">
      <alignment horizontal="center"/>
      <protection/>
    </xf>
    <xf numFmtId="0" fontId="29" fillId="0" borderId="28" xfId="0" applyFont="1" applyFill="1" applyBorder="1" applyAlignment="1" applyProtection="1">
      <alignment horizontal="center"/>
      <protection/>
    </xf>
    <xf numFmtId="0" fontId="31" fillId="0" borderId="26" xfId="0" applyFont="1" applyBorder="1" applyAlignment="1" applyProtection="1">
      <alignment horizontal="center"/>
      <protection/>
    </xf>
    <xf numFmtId="0" fontId="29" fillId="0" borderId="26" xfId="0" applyFont="1" applyBorder="1" applyAlignment="1" applyProtection="1">
      <alignment horizontal="center"/>
      <protection/>
    </xf>
    <xf numFmtId="0" fontId="31" fillId="0" borderId="29" xfId="0" applyFont="1" applyBorder="1" applyAlignment="1" applyProtection="1">
      <alignment horizontal="center"/>
      <protection/>
    </xf>
    <xf numFmtId="0" fontId="29" fillId="0" borderId="29" xfId="0" applyFont="1" applyBorder="1" applyAlignment="1" applyProtection="1">
      <alignment horizontal="center"/>
      <protection/>
    </xf>
    <xf numFmtId="0" fontId="31" fillId="0" borderId="30" xfId="0" applyFont="1" applyBorder="1" applyAlignment="1" applyProtection="1">
      <alignment horizontal="center"/>
      <protection/>
    </xf>
    <xf numFmtId="0" fontId="31" fillId="0" borderId="30" xfId="0" applyFont="1" applyBorder="1" applyAlignment="1" applyProtection="1">
      <alignment horizontal="left"/>
      <protection/>
    </xf>
    <xf numFmtId="0" fontId="31" fillId="0" borderId="31" xfId="0" applyFont="1" applyBorder="1" applyAlignment="1" applyProtection="1">
      <alignment horizontal="center"/>
      <protection/>
    </xf>
    <xf numFmtId="0" fontId="31" fillId="0" borderId="31" xfId="0" applyNumberFormat="1" applyFont="1" applyBorder="1" applyAlignment="1" applyProtection="1">
      <alignment horizontal="left"/>
      <protection/>
    </xf>
    <xf numFmtId="10" fontId="31" fillId="0" borderId="23" xfId="0" applyNumberFormat="1" applyFont="1" applyBorder="1" applyAlignment="1" applyProtection="1">
      <alignment horizontal="center"/>
      <protection/>
    </xf>
    <xf numFmtId="0" fontId="29" fillId="0" borderId="17" xfId="0" applyFont="1" applyBorder="1" applyAlignment="1" applyProtection="1">
      <alignment horizontal="right"/>
      <protection/>
    </xf>
    <xf numFmtId="0" fontId="31" fillId="0" borderId="13" xfId="0" applyFont="1" applyBorder="1" applyAlignment="1" applyProtection="1">
      <alignment horizontal="center"/>
      <protection/>
    </xf>
    <xf numFmtId="0" fontId="29" fillId="0" borderId="13" xfId="0" applyFont="1" applyBorder="1" applyAlignment="1" applyProtection="1">
      <alignment horizontal="right"/>
      <protection/>
    </xf>
    <xf numFmtId="0" fontId="29" fillId="0" borderId="32" xfId="0" applyFont="1" applyBorder="1" applyAlignment="1">
      <alignment horizontal="right" vertical="top"/>
    </xf>
    <xf numFmtId="0" fontId="29" fillId="0" borderId="32" xfId="0" applyFont="1" applyBorder="1" applyAlignment="1" applyProtection="1">
      <alignment horizontal="right"/>
      <protection/>
    </xf>
    <xf numFmtId="0" fontId="29" fillId="0" borderId="26" xfId="0" applyFont="1" applyBorder="1" applyAlignment="1">
      <alignment horizontal="right" vertical="top"/>
    </xf>
    <xf numFmtId="0" fontId="29" fillId="0" borderId="26" xfId="0" applyFont="1" applyBorder="1" applyAlignment="1" applyProtection="1">
      <alignment horizontal="right"/>
      <protection/>
    </xf>
    <xf numFmtId="0" fontId="29" fillId="0" borderId="29" xfId="0" applyFont="1" applyBorder="1" applyAlignment="1" applyProtection="1">
      <alignment horizontal="right"/>
      <protection/>
    </xf>
    <xf numFmtId="0" fontId="31" fillId="0" borderId="17" xfId="0" applyFont="1" applyBorder="1" applyAlignment="1" applyProtection="1">
      <alignment horizontal="center"/>
      <protection/>
    </xf>
    <xf numFmtId="43" fontId="29" fillId="0" borderId="0" xfId="42" applyFont="1" applyAlignment="1" applyProtection="1">
      <alignment/>
      <protection/>
    </xf>
    <xf numFmtId="0" fontId="31" fillId="0" borderId="22" xfId="0" applyFont="1" applyBorder="1" applyAlignment="1" applyProtection="1">
      <alignment horizontal="center"/>
      <protection/>
    </xf>
    <xf numFmtId="0" fontId="29" fillId="0" borderId="22" xfId="0" applyFont="1" applyBorder="1" applyAlignment="1" applyProtection="1">
      <alignment horizontal="right"/>
      <protection/>
    </xf>
    <xf numFmtId="3" fontId="49" fillId="0" borderId="0" xfId="0" applyNumberFormat="1" applyFont="1" applyAlignment="1" applyProtection="1">
      <alignment/>
      <protection/>
    </xf>
    <xf numFmtId="0" fontId="31" fillId="0" borderId="0" xfId="0" applyFont="1" applyBorder="1" applyAlignment="1" applyProtection="1">
      <alignment horizontal="left"/>
      <protection/>
    </xf>
    <xf numFmtId="43" fontId="31" fillId="0" borderId="0" xfId="42" applyFont="1" applyBorder="1" applyAlignment="1" applyProtection="1">
      <alignment horizontal="left"/>
      <protection/>
    </xf>
    <xf numFmtId="0" fontId="31" fillId="0" borderId="0" xfId="0" applyFont="1" applyAlignment="1" applyProtection="1">
      <alignment horizontal="right"/>
      <protection/>
    </xf>
    <xf numFmtId="200" fontId="29" fillId="0" borderId="0" xfId="0" applyNumberFormat="1" applyFont="1" applyAlignment="1" applyProtection="1">
      <alignment/>
      <protection/>
    </xf>
    <xf numFmtId="0" fontId="29" fillId="0" borderId="0" xfId="0" applyFont="1" applyAlignment="1" applyProtection="1">
      <alignment/>
      <protection hidden="1"/>
    </xf>
    <xf numFmtId="3" fontId="31" fillId="0" borderId="13" xfId="0" applyNumberFormat="1" applyFont="1" applyFill="1" applyBorder="1" applyAlignment="1" applyProtection="1">
      <alignment horizontal="center"/>
      <protection hidden="1"/>
    </xf>
    <xf numFmtId="0" fontId="31" fillId="0" borderId="13" xfId="0" applyFont="1" applyFill="1" applyBorder="1" applyAlignment="1" applyProtection="1">
      <alignment horizontal="center"/>
      <protection hidden="1"/>
    </xf>
    <xf numFmtId="3" fontId="31" fillId="0" borderId="17" xfId="0" applyNumberFormat="1" applyFont="1" applyFill="1" applyBorder="1" applyAlignment="1" applyProtection="1">
      <alignment horizontal="center"/>
      <protection hidden="1"/>
    </xf>
    <xf numFmtId="0" fontId="29" fillId="0" borderId="17" xfId="0" applyFont="1" applyBorder="1" applyAlignment="1" applyProtection="1">
      <alignment horizontal="center"/>
      <protection hidden="1"/>
    </xf>
    <xf numFmtId="0" fontId="29" fillId="0" borderId="30" xfId="0" applyFont="1" applyBorder="1" applyAlignment="1" applyProtection="1">
      <alignment horizontal="left"/>
      <protection hidden="1"/>
    </xf>
    <xf numFmtId="0" fontId="29" fillId="0" borderId="31" xfId="0" applyFont="1" applyBorder="1" applyAlignment="1" applyProtection="1">
      <alignment horizontal="left"/>
      <protection hidden="1"/>
    </xf>
    <xf numFmtId="0" fontId="29" fillId="0" borderId="23" xfId="0" applyFont="1" applyBorder="1" applyAlignment="1" applyProtection="1">
      <alignment horizontal="left"/>
      <protection hidden="1"/>
    </xf>
    <xf numFmtId="194" fontId="29" fillId="0" borderId="22" xfId="0" applyNumberFormat="1" applyFont="1" applyBorder="1" applyAlignment="1" applyProtection="1">
      <alignment horizontal="right"/>
      <protection hidden="1"/>
    </xf>
    <xf numFmtId="194" fontId="29" fillId="0" borderId="17" xfId="0" applyNumberFormat="1" applyFont="1" applyBorder="1" applyAlignment="1" applyProtection="1">
      <alignment horizontal="right"/>
      <protection hidden="1"/>
    </xf>
    <xf numFmtId="10" fontId="29" fillId="0" borderId="17" xfId="0" applyNumberFormat="1" applyFont="1" applyBorder="1" applyAlignment="1" applyProtection="1">
      <alignment horizontal="right"/>
      <protection hidden="1"/>
    </xf>
    <xf numFmtId="3" fontId="29" fillId="0" borderId="0" xfId="0" applyNumberFormat="1" applyFont="1" applyAlignment="1" applyProtection="1">
      <alignment/>
      <protection hidden="1"/>
    </xf>
    <xf numFmtId="194" fontId="31" fillId="0" borderId="22" xfId="0" applyNumberFormat="1" applyFont="1" applyBorder="1" applyAlignment="1" applyProtection="1">
      <alignment horizontal="right"/>
      <protection hidden="1"/>
    </xf>
    <xf numFmtId="9" fontId="29" fillId="0" borderId="17" xfId="0" applyNumberFormat="1" applyFont="1" applyBorder="1" applyAlignment="1" applyProtection="1">
      <alignment horizontal="right"/>
      <protection hidden="1"/>
    </xf>
    <xf numFmtId="0" fontId="29" fillId="0" borderId="17" xfId="0" applyFont="1" applyFill="1" applyBorder="1" applyAlignment="1" applyProtection="1">
      <alignment horizontal="center"/>
      <protection hidden="1"/>
    </xf>
    <xf numFmtId="0" fontId="29" fillId="0" borderId="0" xfId="0" applyFont="1" applyBorder="1" applyAlignment="1" applyProtection="1">
      <alignment horizontal="center"/>
      <protection hidden="1"/>
    </xf>
    <xf numFmtId="0" fontId="31" fillId="0" borderId="0" xfId="0" applyFont="1" applyBorder="1" applyAlignment="1" applyProtection="1">
      <alignment horizontal="left"/>
      <protection hidden="1"/>
    </xf>
    <xf numFmtId="3" fontId="30" fillId="0" borderId="0" xfId="0" applyNumberFormat="1" applyFont="1" applyBorder="1" applyAlignment="1" applyProtection="1">
      <alignment horizontal="center"/>
      <protection hidden="1"/>
    </xf>
    <xf numFmtId="0" fontId="31" fillId="0" borderId="0" xfId="0" applyFont="1" applyBorder="1" applyAlignment="1" applyProtection="1">
      <alignment horizontal="right"/>
      <protection hidden="1"/>
    </xf>
    <xf numFmtId="10" fontId="30" fillId="0" borderId="0" xfId="0" applyNumberFormat="1" applyFont="1" applyBorder="1" applyAlignment="1" applyProtection="1">
      <alignment horizontal="center"/>
      <protection hidden="1"/>
    </xf>
    <xf numFmtId="43" fontId="31" fillId="0" borderId="28" xfId="42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43" fontId="31" fillId="0" borderId="28" xfId="42" applyFont="1" applyFill="1" applyBorder="1" applyAlignment="1">
      <alignment horizontal="center"/>
    </xf>
    <xf numFmtId="43" fontId="31" fillId="0" borderId="26" xfId="42" applyFont="1" applyFill="1" applyBorder="1" applyAlignment="1">
      <alignment/>
    </xf>
    <xf numFmtId="43" fontId="29" fillId="0" borderId="26" xfId="42" applyFont="1" applyFill="1" applyBorder="1" applyAlignment="1">
      <alignment vertical="center"/>
    </xf>
    <xf numFmtId="43" fontId="29" fillId="0" borderId="26" xfId="42" applyFont="1" applyFill="1" applyBorder="1" applyAlignment="1">
      <alignment/>
    </xf>
    <xf numFmtId="43" fontId="31" fillId="0" borderId="26" xfId="44" applyFont="1" applyFill="1" applyBorder="1" applyAlignment="1">
      <alignment/>
    </xf>
    <xf numFmtId="43" fontId="29" fillId="0" borderId="26" xfId="44" applyFont="1" applyFill="1" applyBorder="1" applyAlignment="1">
      <alignment/>
    </xf>
    <xf numFmtId="208" fontId="29" fillId="0" borderId="26" xfId="44" applyNumberFormat="1" applyFont="1" applyFill="1" applyBorder="1" applyAlignment="1">
      <alignment/>
    </xf>
    <xf numFmtId="43" fontId="29" fillId="0" borderId="26" xfId="42" applyFont="1" applyFill="1" applyBorder="1" applyAlignment="1">
      <alignment vertical="top"/>
    </xf>
    <xf numFmtId="0" fontId="29" fillId="0" borderId="26" xfId="0" applyFont="1" applyFill="1" applyBorder="1" applyAlignment="1">
      <alignment horizontal="center" vertical="center"/>
    </xf>
    <xf numFmtId="43" fontId="29" fillId="0" borderId="29" xfId="42" applyFont="1" applyFill="1" applyBorder="1" applyAlignment="1">
      <alignment/>
    </xf>
    <xf numFmtId="43" fontId="29" fillId="0" borderId="25" xfId="42" applyFont="1" applyFill="1" applyBorder="1" applyAlignment="1">
      <alignment/>
    </xf>
    <xf numFmtId="49" fontId="29" fillId="0" borderId="0" xfId="48" applyNumberFormat="1" applyFont="1" applyBorder="1" applyAlignment="1">
      <alignment horizontal="left" wrapText="1"/>
      <protection/>
    </xf>
    <xf numFmtId="43" fontId="29" fillId="0" borderId="25" xfId="42" applyFont="1" applyFill="1" applyBorder="1" applyAlignment="1">
      <alignment vertical="center"/>
    </xf>
    <xf numFmtId="0" fontId="29" fillId="0" borderId="26" xfId="0" applyFont="1" applyFill="1" applyBorder="1" applyAlignment="1">
      <alignment horizontal="center"/>
    </xf>
    <xf numFmtId="0" fontId="29" fillId="0" borderId="0" xfId="0" applyFont="1" applyBorder="1" applyAlignment="1" quotePrefix="1">
      <alignment/>
    </xf>
    <xf numFmtId="43" fontId="29" fillId="0" borderId="0" xfId="42" applyFont="1" applyFill="1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 quotePrefix="1">
      <alignment horizontal="left" vertical="top" wrapText="1"/>
    </xf>
    <xf numFmtId="0" fontId="29" fillId="0" borderId="0" xfId="0" applyFont="1" applyBorder="1" applyAlignment="1" quotePrefix="1">
      <alignment wrapText="1"/>
    </xf>
    <xf numFmtId="0" fontId="29" fillId="0" borderId="25" xfId="0" applyFont="1" applyBorder="1" applyAlignment="1">
      <alignment/>
    </xf>
    <xf numFmtId="194" fontId="29" fillId="0" borderId="0" xfId="0" applyNumberFormat="1" applyFont="1" applyAlignment="1">
      <alignment/>
    </xf>
    <xf numFmtId="43" fontId="29" fillId="0" borderId="33" xfId="42" applyFont="1" applyFill="1" applyBorder="1" applyAlignment="1">
      <alignment/>
    </xf>
    <xf numFmtId="0" fontId="29" fillId="25" borderId="0" xfId="0" applyFont="1" applyFill="1" applyBorder="1" applyAlignment="1" quotePrefix="1">
      <alignment wrapText="1"/>
    </xf>
    <xf numFmtId="0" fontId="29" fillId="26" borderId="0" xfId="0" applyFont="1" applyFill="1" applyBorder="1" applyAlignment="1" quotePrefix="1">
      <alignment wrapText="1"/>
    </xf>
    <xf numFmtId="43" fontId="29" fillId="0" borderId="34" xfId="42" applyFont="1" applyFill="1" applyBorder="1" applyAlignment="1">
      <alignment/>
    </xf>
    <xf numFmtId="0" fontId="31" fillId="0" borderId="29" xfId="0" applyFont="1" applyBorder="1" applyAlignment="1">
      <alignment/>
    </xf>
    <xf numFmtId="43" fontId="31" fillId="0" borderId="29" xfId="42" applyFont="1" applyFill="1" applyBorder="1" applyAlignment="1">
      <alignment/>
    </xf>
    <xf numFmtId="43" fontId="29" fillId="0" borderId="35" xfId="42" applyFont="1" applyFill="1" applyBorder="1" applyAlignment="1">
      <alignment/>
    </xf>
    <xf numFmtId="43" fontId="29" fillId="0" borderId="26" xfId="42" applyFont="1" applyFill="1" applyBorder="1" applyAlignment="1">
      <alignment horizontal="center" vertical="center"/>
    </xf>
    <xf numFmtId="43" fontId="29" fillId="0" borderId="26" xfId="42" applyFont="1" applyBorder="1" applyAlignment="1">
      <alignment horizontal="right"/>
    </xf>
    <xf numFmtId="0" fontId="29" fillId="0" borderId="29" xfId="0" applyFont="1" applyBorder="1" applyAlignment="1">
      <alignment horizontal="center"/>
    </xf>
    <xf numFmtId="43" fontId="29" fillId="0" borderId="26" xfId="44" applyFont="1" applyFill="1" applyBorder="1" applyAlignment="1">
      <alignment horizontal="center"/>
    </xf>
    <xf numFmtId="43" fontId="29" fillId="0" borderId="26" xfId="68" applyFont="1" applyFill="1" applyBorder="1" applyAlignment="1">
      <alignment/>
    </xf>
    <xf numFmtId="43" fontId="29" fillId="0" borderId="26" xfId="68" applyFont="1" applyFill="1" applyBorder="1" applyAlignment="1">
      <alignment horizontal="center"/>
    </xf>
    <xf numFmtId="0" fontId="29" fillId="0" borderId="28" xfId="0" applyFont="1" applyBorder="1" applyAlignment="1">
      <alignment horizontal="center"/>
    </xf>
    <xf numFmtId="0" fontId="31" fillId="25" borderId="36" xfId="0" applyFont="1" applyFill="1" applyBorder="1" applyAlignment="1">
      <alignment horizontal="center"/>
    </xf>
    <xf numFmtId="0" fontId="31" fillId="25" borderId="37" xfId="0" applyFont="1" applyFill="1" applyBorder="1" applyAlignment="1" quotePrefix="1">
      <alignment/>
    </xf>
    <xf numFmtId="0" fontId="31" fillId="0" borderId="28" xfId="0" applyFont="1" applyBorder="1" applyAlignment="1">
      <alignment horizontal="center"/>
    </xf>
    <xf numFmtId="0" fontId="31" fillId="0" borderId="29" xfId="0" applyFont="1" applyBorder="1" applyAlignment="1">
      <alignment horizontal="center"/>
    </xf>
    <xf numFmtId="194" fontId="31" fillId="0" borderId="29" xfId="0" applyNumberFormat="1" applyFont="1" applyBorder="1" applyAlignment="1">
      <alignment/>
    </xf>
    <xf numFmtId="43" fontId="29" fillId="0" borderId="34" xfId="42" applyFont="1" applyFill="1" applyBorder="1" applyAlignment="1">
      <alignment horizontal="center"/>
    </xf>
    <xf numFmtId="43" fontId="29" fillId="0" borderId="38" xfId="42" applyFont="1" applyFill="1" applyBorder="1" applyAlignment="1">
      <alignment/>
    </xf>
    <xf numFmtId="43" fontId="29" fillId="0" borderId="0" xfId="44" applyFont="1" applyFill="1" applyBorder="1" applyAlignment="1">
      <alignment/>
    </xf>
    <xf numFmtId="0" fontId="29" fillId="0" borderId="0" xfId="75" applyFont="1" applyBorder="1" quotePrefix="1">
      <alignment/>
      <protection/>
    </xf>
    <xf numFmtId="43" fontId="29" fillId="0" borderId="0" xfId="44" applyFont="1" applyFill="1" applyBorder="1" applyAlignment="1">
      <alignment horizontal="center"/>
    </xf>
    <xf numFmtId="43" fontId="29" fillId="0" borderId="29" xfId="44" applyFont="1" applyFill="1" applyBorder="1" applyAlignment="1">
      <alignment/>
    </xf>
    <xf numFmtId="43" fontId="29" fillId="0" borderId="29" xfId="44" applyFont="1" applyFill="1" applyBorder="1" applyAlignment="1">
      <alignment horizontal="center"/>
    </xf>
    <xf numFmtId="43" fontId="29" fillId="0" borderId="28" xfId="44" applyFont="1" applyFill="1" applyBorder="1" applyAlignment="1">
      <alignment/>
    </xf>
    <xf numFmtId="43" fontId="29" fillId="0" borderId="28" xfId="44" applyFont="1" applyFill="1" applyBorder="1" applyAlignment="1">
      <alignment horizontal="center"/>
    </xf>
    <xf numFmtId="43" fontId="31" fillId="0" borderId="26" xfId="44" applyFont="1" applyFill="1" applyBorder="1" applyAlignment="1">
      <alignment horizontal="center"/>
    </xf>
    <xf numFmtId="43" fontId="29" fillId="0" borderId="26" xfId="44" applyFont="1" applyFill="1" applyBorder="1" applyAlignment="1">
      <alignment vertical="center"/>
    </xf>
    <xf numFmtId="43" fontId="29" fillId="0" borderId="26" xfId="44" applyFont="1" applyFill="1" applyBorder="1" applyAlignment="1">
      <alignment horizontal="center" vertical="center"/>
    </xf>
    <xf numFmtId="43" fontId="29" fillId="0" borderId="25" xfId="44" applyFont="1" applyFill="1" applyBorder="1" applyAlignment="1" quotePrefix="1">
      <alignment/>
    </xf>
    <xf numFmtId="43" fontId="29" fillId="0" borderId="34" xfId="42" applyFont="1" applyFill="1" applyBorder="1" applyAlignment="1">
      <alignment vertical="center"/>
    </xf>
    <xf numFmtId="43" fontId="29" fillId="0" borderId="34" xfId="42" applyFont="1" applyFill="1" applyBorder="1" applyAlignment="1">
      <alignment horizontal="center" vertical="center"/>
    </xf>
    <xf numFmtId="43" fontId="29" fillId="0" borderId="35" xfId="42" applyFont="1" applyFill="1" applyBorder="1" applyAlignment="1">
      <alignment vertical="center"/>
    </xf>
    <xf numFmtId="43" fontId="29" fillId="0" borderId="0" xfId="42" applyFont="1" applyFill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43" fontId="31" fillId="0" borderId="23" xfId="42" applyFont="1" applyFill="1" applyBorder="1" applyAlignment="1">
      <alignment horizontal="center"/>
    </xf>
    <xf numFmtId="9" fontId="31" fillId="0" borderId="22" xfId="79" applyFont="1" applyFill="1" applyBorder="1" applyAlignment="1">
      <alignment horizontal="center" vertical="center" wrapText="1"/>
    </xf>
    <xf numFmtId="9" fontId="31" fillId="0" borderId="0" xfId="79" applyFont="1" applyFill="1" applyBorder="1" applyAlignment="1">
      <alignment horizontal="center" vertical="center" wrapText="1"/>
    </xf>
    <xf numFmtId="0" fontId="31" fillId="0" borderId="39" xfId="0" applyFont="1" applyBorder="1" applyAlignment="1">
      <alignment horizontal="center"/>
    </xf>
    <xf numFmtId="43" fontId="31" fillId="0" borderId="26" xfId="44" applyFont="1" applyFill="1" applyBorder="1" applyAlignment="1">
      <alignment vertical="center"/>
    </xf>
    <xf numFmtId="43" fontId="31" fillId="0" borderId="26" xfId="44" applyFont="1" applyFill="1" applyBorder="1" applyAlignment="1">
      <alignment horizontal="center" vertical="center"/>
    </xf>
    <xf numFmtId="0" fontId="29" fillId="0" borderId="40" xfId="0" applyFont="1" applyBorder="1" applyAlignment="1">
      <alignment horizontal="center"/>
    </xf>
    <xf numFmtId="43" fontId="31" fillId="0" borderId="29" xfId="44" applyFont="1" applyFill="1" applyBorder="1" applyAlignment="1">
      <alignment/>
    </xf>
    <xf numFmtId="43" fontId="31" fillId="0" borderId="29" xfId="44" applyFont="1" applyFill="1" applyBorder="1" applyAlignment="1">
      <alignment horizontal="center"/>
    </xf>
    <xf numFmtId="43" fontId="29" fillId="0" borderId="29" xfId="44" applyFont="1" applyFill="1" applyBorder="1" applyAlignment="1">
      <alignment horizontal="center" vertical="center"/>
    </xf>
    <xf numFmtId="43" fontId="29" fillId="0" borderId="28" xfId="44" applyFont="1" applyFill="1" applyBorder="1" applyAlignment="1">
      <alignment vertical="center"/>
    </xf>
    <xf numFmtId="43" fontId="29" fillId="0" borderId="28" xfId="44" applyFont="1" applyFill="1" applyBorder="1" applyAlignment="1">
      <alignment horizontal="center" vertical="center"/>
    </xf>
    <xf numFmtId="43" fontId="31" fillId="0" borderId="41" xfId="42" applyFont="1" applyFill="1" applyBorder="1" applyAlignment="1">
      <alignment horizontal="center"/>
    </xf>
    <xf numFmtId="0" fontId="31" fillId="0" borderId="29" xfId="0" applyFont="1" applyFill="1" applyBorder="1" applyAlignment="1">
      <alignment horizontal="right"/>
    </xf>
    <xf numFmtId="0" fontId="31" fillId="0" borderId="37" xfId="0" applyFont="1" applyFill="1" applyBorder="1" applyAlignment="1">
      <alignment horizontal="left" vertical="center"/>
    </xf>
    <xf numFmtId="43" fontId="31" fillId="0" borderId="34" xfId="42" applyFont="1" applyFill="1" applyBorder="1" applyAlignment="1">
      <alignment/>
    </xf>
    <xf numFmtId="43" fontId="31" fillId="0" borderId="26" xfId="42" applyFont="1" applyFill="1" applyBorder="1" applyAlignment="1">
      <alignment vertical="center"/>
    </xf>
    <xf numFmtId="43" fontId="31" fillId="0" borderId="29" xfId="42" applyFont="1" applyBorder="1" applyAlignment="1">
      <alignment horizontal="right"/>
    </xf>
    <xf numFmtId="0" fontId="31" fillId="0" borderId="25" xfId="0" applyFont="1" applyFill="1" applyBorder="1" applyAlignment="1" quotePrefix="1">
      <alignment/>
    </xf>
    <xf numFmtId="0" fontId="31" fillId="0" borderId="26" xfId="0" applyFont="1" applyFill="1" applyBorder="1" applyAlignment="1">
      <alignment/>
    </xf>
    <xf numFmtId="43" fontId="29" fillId="0" borderId="29" xfId="42" applyFont="1" applyFill="1" applyBorder="1" applyAlignment="1">
      <alignment vertical="center"/>
    </xf>
    <xf numFmtId="43" fontId="31" fillId="0" borderId="29" xfId="42" applyFont="1" applyFill="1" applyBorder="1" applyAlignment="1">
      <alignment vertical="center"/>
    </xf>
    <xf numFmtId="43" fontId="29" fillId="0" borderId="28" xfId="42" applyFont="1" applyFill="1" applyBorder="1" applyAlignment="1">
      <alignment vertical="center"/>
    </xf>
    <xf numFmtId="0" fontId="31" fillId="0" borderId="26" xfId="0" applyFont="1" applyFill="1" applyBorder="1" applyAlignment="1">
      <alignment horizontal="center"/>
    </xf>
    <xf numFmtId="43" fontId="31" fillId="0" borderId="35" xfId="42" applyFont="1" applyFill="1" applyBorder="1" applyAlignment="1">
      <alignment/>
    </xf>
    <xf numFmtId="43" fontId="31" fillId="0" borderId="26" xfId="42" applyFont="1" applyFill="1" applyBorder="1" applyAlignment="1">
      <alignment horizontal="left"/>
    </xf>
    <xf numFmtId="43" fontId="29" fillId="0" borderId="33" xfId="42" applyFont="1" applyFill="1" applyBorder="1" applyAlignment="1">
      <alignment vertical="center"/>
    </xf>
    <xf numFmtId="43" fontId="29" fillId="0" borderId="28" xfId="42" applyFont="1" applyFill="1" applyBorder="1" applyAlignment="1">
      <alignment/>
    </xf>
    <xf numFmtId="43" fontId="29" fillId="0" borderId="42" xfId="42" applyFont="1" applyFill="1" applyBorder="1" applyAlignment="1">
      <alignment/>
    </xf>
    <xf numFmtId="43" fontId="29" fillId="0" borderId="42" xfId="42" applyFont="1" applyFill="1" applyBorder="1" applyAlignment="1">
      <alignment vertical="center"/>
    </xf>
    <xf numFmtId="0" fontId="31" fillId="0" borderId="26" xfId="0" applyFont="1" applyBorder="1" applyAlignment="1" quotePrefix="1">
      <alignment horizontal="left" wrapText="1"/>
    </xf>
    <xf numFmtId="0" fontId="31" fillId="0" borderId="42" xfId="0" applyFont="1" applyBorder="1" applyAlignment="1">
      <alignment/>
    </xf>
    <xf numFmtId="0" fontId="31" fillId="0" borderId="42" xfId="0" applyFont="1" applyBorder="1" applyAlignment="1">
      <alignment vertical="center"/>
    </xf>
    <xf numFmtId="43" fontId="31" fillId="0" borderId="33" xfId="42" applyFont="1" applyFill="1" applyBorder="1" applyAlignment="1">
      <alignment vertical="center"/>
    </xf>
    <xf numFmtId="0" fontId="31" fillId="0" borderId="43" xfId="0" applyFont="1" applyBorder="1" applyAlignment="1">
      <alignment/>
    </xf>
    <xf numFmtId="43" fontId="31" fillId="0" borderId="44" xfId="42" applyFont="1" applyFill="1" applyBorder="1" applyAlignment="1">
      <alignment/>
    </xf>
    <xf numFmtId="43" fontId="29" fillId="0" borderId="45" xfId="42" applyFont="1" applyFill="1" applyBorder="1" applyAlignment="1">
      <alignment/>
    </xf>
    <xf numFmtId="43" fontId="29" fillId="0" borderId="41" xfId="42" applyFont="1" applyFill="1" applyBorder="1" applyAlignment="1">
      <alignment/>
    </xf>
    <xf numFmtId="0" fontId="31" fillId="0" borderId="26" xfId="0" applyFont="1" applyBorder="1" applyAlignment="1" quotePrefix="1">
      <alignment horizontal="center"/>
    </xf>
    <xf numFmtId="0" fontId="29" fillId="0" borderId="26" xfId="0" applyFont="1" applyFill="1" applyBorder="1" applyAlignment="1" quotePrefix="1">
      <alignment/>
    </xf>
    <xf numFmtId="0" fontId="29" fillId="0" borderId="26" xfId="0" applyFont="1" applyFill="1" applyBorder="1" applyAlignment="1" quotePrefix="1">
      <alignment vertical="top" wrapText="1"/>
    </xf>
    <xf numFmtId="0" fontId="29" fillId="0" borderId="26" xfId="75" applyFont="1" applyFill="1" applyBorder="1" applyAlignment="1" quotePrefix="1">
      <alignment horizontal="left"/>
      <protection/>
    </xf>
    <xf numFmtId="0" fontId="29" fillId="0" borderId="26" xfId="75" applyFont="1" applyFill="1" applyBorder="1" applyAlignment="1">
      <alignment horizontal="center"/>
      <protection/>
    </xf>
    <xf numFmtId="43" fontId="31" fillId="0" borderId="28" xfId="42" applyFont="1" applyFill="1" applyBorder="1" applyAlignment="1">
      <alignment/>
    </xf>
    <xf numFmtId="0" fontId="29" fillId="0" borderId="28" xfId="0" applyFont="1" applyFill="1" applyBorder="1" applyAlignment="1">
      <alignment horizontal="center" vertical="center"/>
    </xf>
    <xf numFmtId="0" fontId="29" fillId="0" borderId="29" xfId="0" applyFont="1" applyFill="1" applyBorder="1" applyAlignment="1" quotePrefix="1">
      <alignment wrapText="1"/>
    </xf>
    <xf numFmtId="0" fontId="29" fillId="0" borderId="29" xfId="0" applyFont="1" applyFill="1" applyBorder="1" applyAlignment="1" quotePrefix="1">
      <alignment vertical="top" wrapText="1"/>
    </xf>
    <xf numFmtId="0" fontId="29" fillId="0" borderId="29" xfId="0" applyFont="1" applyFill="1" applyBorder="1" applyAlignment="1" quotePrefix="1">
      <alignment/>
    </xf>
    <xf numFmtId="0" fontId="29" fillId="0" borderId="28" xfId="0" applyFont="1" applyBorder="1" applyAlignment="1" quotePrefix="1">
      <alignment horizontal="left" vertical="top" wrapText="1"/>
    </xf>
    <xf numFmtId="0" fontId="29" fillId="0" borderId="29" xfId="0" applyFont="1" applyFill="1" applyBorder="1" applyAlignment="1">
      <alignment horizontal="center" vertical="center"/>
    </xf>
    <xf numFmtId="0" fontId="31" fillId="0" borderId="42" xfId="0" applyFont="1" applyFill="1" applyBorder="1" applyAlignment="1">
      <alignment wrapText="1"/>
    </xf>
    <xf numFmtId="43" fontId="31" fillId="0" borderId="22" xfId="42" applyFont="1" applyFill="1" applyBorder="1" applyAlignment="1">
      <alignment horizontal="right"/>
    </xf>
    <xf numFmtId="43" fontId="31" fillId="0" borderId="28" xfId="42" applyFont="1" applyFill="1" applyBorder="1" applyAlignment="1">
      <alignment horizontal="right"/>
    </xf>
    <xf numFmtId="43" fontId="31" fillId="0" borderId="26" xfId="42" applyFont="1" applyFill="1" applyBorder="1" applyAlignment="1">
      <alignment horizontal="right"/>
    </xf>
    <xf numFmtId="43" fontId="29" fillId="0" borderId="26" xfId="42" applyFont="1" applyFill="1" applyBorder="1" applyAlignment="1">
      <alignment horizontal="right" vertical="center"/>
    </xf>
    <xf numFmtId="43" fontId="29" fillId="0" borderId="26" xfId="42" applyFont="1" applyFill="1" applyBorder="1" applyAlignment="1">
      <alignment horizontal="right"/>
    </xf>
    <xf numFmtId="43" fontId="29" fillId="0" borderId="29" xfId="42" applyFont="1" applyFill="1" applyBorder="1" applyAlignment="1">
      <alignment horizontal="right"/>
    </xf>
    <xf numFmtId="43" fontId="29" fillId="0" borderId="26" xfId="44" applyFont="1" applyFill="1" applyBorder="1" applyAlignment="1">
      <alignment horizontal="right"/>
    </xf>
    <xf numFmtId="43" fontId="31" fillId="0" borderId="29" xfId="44" applyFont="1" applyFill="1" applyBorder="1" applyAlignment="1">
      <alignment horizontal="right"/>
    </xf>
    <xf numFmtId="0" fontId="29" fillId="0" borderId="26" xfId="0" applyFont="1" applyFill="1" applyBorder="1" applyAlignment="1">
      <alignment/>
    </xf>
    <xf numFmtId="43" fontId="31" fillId="0" borderId="22" xfId="79" applyNumberFormat="1" applyFont="1" applyFill="1" applyBorder="1" applyAlignment="1">
      <alignment horizontal="right" vertical="center" wrapText="1"/>
    </xf>
    <xf numFmtId="43" fontId="37" fillId="0" borderId="22" xfId="69" applyNumberFormat="1" applyFont="1" applyFill="1" applyBorder="1" applyAlignment="1">
      <alignment horizontal="right" wrapText="1"/>
    </xf>
    <xf numFmtId="43" fontId="29" fillId="0" borderId="0" xfId="42" applyFont="1" applyFill="1" applyAlignment="1">
      <alignment/>
    </xf>
    <xf numFmtId="0" fontId="29" fillId="0" borderId="28" xfId="0" applyFont="1" applyFill="1" applyBorder="1" applyAlignment="1">
      <alignment/>
    </xf>
    <xf numFmtId="0" fontId="29" fillId="0" borderId="0" xfId="0" applyFont="1" applyFill="1" applyBorder="1" applyAlignment="1" quotePrefix="1">
      <alignment/>
    </xf>
    <xf numFmtId="0" fontId="29" fillId="0" borderId="25" xfId="0" applyFont="1" applyFill="1" applyBorder="1" applyAlignment="1" quotePrefix="1">
      <alignment horizontal="left"/>
    </xf>
    <xf numFmtId="0" fontId="37" fillId="0" borderId="28" xfId="77" applyFont="1" applyFill="1" applyBorder="1" applyAlignment="1">
      <alignment horizontal="center"/>
      <protection/>
    </xf>
    <xf numFmtId="0" fontId="29" fillId="0" borderId="29" xfId="0" applyFont="1" applyFill="1" applyBorder="1" applyAlignment="1">
      <alignment/>
    </xf>
    <xf numFmtId="0" fontId="37" fillId="0" borderId="22" xfId="77" applyFont="1" applyFill="1" applyBorder="1" applyAlignment="1">
      <alignment horizontal="center"/>
      <protection/>
    </xf>
    <xf numFmtId="202" fontId="37" fillId="0" borderId="22" xfId="69" applyNumberFormat="1" applyFont="1" applyFill="1" applyBorder="1" applyAlignment="1">
      <alignment horizontal="center"/>
    </xf>
    <xf numFmtId="0" fontId="37" fillId="0" borderId="22" xfId="69" applyNumberFormat="1" applyFont="1" applyFill="1" applyBorder="1" applyAlignment="1">
      <alignment horizontal="center"/>
    </xf>
    <xf numFmtId="2" fontId="50" fillId="0" borderId="0" xfId="0" applyNumberFormat="1" applyFont="1" applyFill="1" applyAlignment="1">
      <alignment horizontal="left"/>
    </xf>
    <xf numFmtId="0" fontId="31" fillId="0" borderId="32" xfId="0" applyFont="1" applyFill="1" applyBorder="1" applyAlignment="1" quotePrefix="1">
      <alignment horizontal="left"/>
    </xf>
    <xf numFmtId="0" fontId="29" fillId="0" borderId="39" xfId="0" applyFont="1" applyFill="1" applyBorder="1" applyAlignment="1" quotePrefix="1">
      <alignment/>
    </xf>
    <xf numFmtId="0" fontId="29" fillId="0" borderId="37" xfId="0" applyFont="1" applyFill="1" applyBorder="1" applyAlignment="1" quotePrefix="1">
      <alignment/>
    </xf>
    <xf numFmtId="0" fontId="29" fillId="0" borderId="25" xfId="0" applyFont="1" applyFill="1" applyBorder="1" applyAlignment="1" quotePrefix="1">
      <alignment/>
    </xf>
    <xf numFmtId="0" fontId="31" fillId="0" borderId="25" xfId="0" applyFont="1" applyFill="1" applyBorder="1" applyAlignment="1" quotePrefix="1">
      <alignment horizontal="left" wrapText="1"/>
    </xf>
    <xf numFmtId="0" fontId="29" fillId="27" borderId="0" xfId="0" applyFont="1" applyFill="1" applyAlignment="1">
      <alignment vertical="top" wrapText="1"/>
    </xf>
    <xf numFmtId="0" fontId="31" fillId="27" borderId="0" xfId="0" applyFont="1" applyFill="1" applyAlignment="1">
      <alignment vertical="top" wrapText="1"/>
    </xf>
    <xf numFmtId="0" fontId="29" fillId="27" borderId="0" xfId="0" applyFont="1" applyFill="1" applyBorder="1" applyAlignment="1">
      <alignment/>
    </xf>
    <xf numFmtId="0" fontId="29" fillId="27" borderId="0" xfId="0" applyFont="1" applyFill="1" applyAlignment="1">
      <alignment/>
    </xf>
    <xf numFmtId="0" fontId="29" fillId="27" borderId="0" xfId="0" applyFont="1" applyFill="1" applyBorder="1" applyAlignment="1" quotePrefix="1">
      <alignment/>
    </xf>
    <xf numFmtId="0" fontId="29" fillId="27" borderId="0" xfId="0" applyFont="1" applyFill="1" applyBorder="1" applyAlignment="1" quotePrefix="1">
      <alignment wrapText="1"/>
    </xf>
    <xf numFmtId="208" fontId="31" fillId="0" borderId="29" xfId="42" applyNumberFormat="1" applyFont="1" applyFill="1" applyBorder="1" applyAlignment="1">
      <alignment/>
    </xf>
    <xf numFmtId="0" fontId="29" fillId="28" borderId="0" xfId="0" applyFont="1" applyFill="1" applyBorder="1" applyAlignment="1">
      <alignment/>
    </xf>
    <xf numFmtId="0" fontId="29" fillId="28" borderId="0" xfId="0" applyFont="1" applyFill="1" applyAlignment="1">
      <alignment/>
    </xf>
    <xf numFmtId="0" fontId="29" fillId="28" borderId="0" xfId="0" applyFont="1" applyFill="1" applyBorder="1" applyAlignment="1" quotePrefix="1">
      <alignment/>
    </xf>
    <xf numFmtId="43" fontId="36" fillId="0" borderId="26" xfId="0" applyNumberFormat="1" applyFont="1" applyFill="1" applyBorder="1" applyAlignment="1">
      <alignment horizontal="right" wrapText="1"/>
    </xf>
    <xf numFmtId="0" fontId="29" fillId="28" borderId="0" xfId="0" applyFont="1" applyFill="1" applyAlignment="1">
      <alignment vertical="top" wrapText="1"/>
    </xf>
    <xf numFmtId="0" fontId="29" fillId="29" borderId="0" xfId="0" applyFont="1" applyFill="1" applyAlignment="1">
      <alignment/>
    </xf>
    <xf numFmtId="0" fontId="31" fillId="28" borderId="0" xfId="0" applyFont="1" applyFill="1" applyBorder="1" applyAlignment="1" quotePrefix="1">
      <alignment horizontal="center"/>
    </xf>
    <xf numFmtId="43" fontId="29" fillId="28" borderId="0" xfId="44" applyFont="1" applyFill="1" applyBorder="1" applyAlignment="1">
      <alignment/>
    </xf>
    <xf numFmtId="0" fontId="29" fillId="28" borderId="0" xfId="0" applyFont="1" applyFill="1" applyBorder="1" applyAlignment="1">
      <alignment horizontal="center"/>
    </xf>
    <xf numFmtId="43" fontId="31" fillId="28" borderId="0" xfId="44" applyFont="1" applyFill="1" applyBorder="1" applyAlignment="1">
      <alignment/>
    </xf>
    <xf numFmtId="0" fontId="51" fillId="0" borderId="26" xfId="0" applyFont="1" applyFill="1" applyBorder="1" applyAlignment="1">
      <alignment horizontal="center"/>
    </xf>
    <xf numFmtId="0" fontId="51" fillId="0" borderId="25" xfId="0" applyFont="1" applyFill="1" applyBorder="1" applyAlignment="1" quotePrefix="1">
      <alignment horizontal="left" wrapText="1"/>
    </xf>
    <xf numFmtId="204" fontId="51" fillId="0" borderId="34" xfId="0" applyNumberFormat="1" applyFont="1" applyFill="1" applyBorder="1" applyAlignment="1">
      <alignment/>
    </xf>
    <xf numFmtId="0" fontId="51" fillId="0" borderId="34" xfId="0" applyFont="1" applyFill="1" applyBorder="1" applyAlignment="1">
      <alignment horizontal="center"/>
    </xf>
    <xf numFmtId="43" fontId="31" fillId="0" borderId="22" xfId="42" applyFont="1" applyFill="1" applyBorder="1" applyAlignment="1">
      <alignment horizontal="center" wrapText="1"/>
    </xf>
    <xf numFmtId="43" fontId="29" fillId="0" borderId="26" xfId="44" applyFont="1" applyFill="1" applyBorder="1" applyAlignment="1">
      <alignment horizontal="center" wrapText="1"/>
    </xf>
    <xf numFmtId="204" fontId="51" fillId="0" borderId="34" xfId="0" applyNumberFormat="1" applyFont="1" applyFill="1" applyBorder="1" applyAlignment="1">
      <alignment horizontal="center" wrapText="1"/>
    </xf>
    <xf numFmtId="43" fontId="29" fillId="0" borderId="26" xfId="44" applyFont="1" applyFill="1" applyBorder="1" applyAlignment="1">
      <alignment/>
    </xf>
    <xf numFmtId="204" fontId="51" fillId="0" borderId="34" xfId="0" applyNumberFormat="1" applyFont="1" applyFill="1" applyBorder="1" applyAlignment="1">
      <alignment/>
    </xf>
    <xf numFmtId="43" fontId="29" fillId="0" borderId="0" xfId="0" applyNumberFormat="1" applyFont="1" applyFill="1" applyAlignment="1">
      <alignment/>
    </xf>
    <xf numFmtId="43" fontId="36" fillId="0" borderId="46" xfId="42" applyNumberFormat="1" applyFont="1" applyFill="1" applyBorder="1" applyAlignment="1">
      <alignment horizontal="right" wrapText="1"/>
    </xf>
    <xf numFmtId="0" fontId="0" fillId="0" borderId="0" xfId="73" applyFill="1">
      <alignment/>
      <protection/>
    </xf>
    <xf numFmtId="43" fontId="29" fillId="0" borderId="0" xfId="0" applyNumberFormat="1" applyFont="1" applyAlignment="1" applyProtection="1">
      <alignment/>
      <protection/>
    </xf>
    <xf numFmtId="43" fontId="50" fillId="0" borderId="0" xfId="0" applyNumberFormat="1" applyFont="1" applyFill="1" applyAlignment="1">
      <alignment horizontal="center"/>
    </xf>
    <xf numFmtId="0" fontId="37" fillId="0" borderId="32" xfId="77" applyFont="1" applyFill="1" applyBorder="1" applyAlignment="1">
      <alignment horizontal="center"/>
      <protection/>
    </xf>
    <xf numFmtId="0" fontId="29" fillId="0" borderId="0" xfId="0" applyFont="1" applyFill="1" applyAlignment="1">
      <alignment/>
    </xf>
    <xf numFmtId="0" fontId="31" fillId="0" borderId="32" xfId="0" applyFont="1" applyFill="1" applyBorder="1" applyAlignment="1">
      <alignment horizontal="center"/>
    </xf>
    <xf numFmtId="0" fontId="31" fillId="0" borderId="37" xfId="0" applyFont="1" applyFill="1" applyBorder="1" applyAlignment="1" quotePrefix="1">
      <alignment/>
    </xf>
    <xf numFmtId="0" fontId="31" fillId="0" borderId="26" xfId="0" applyFont="1" applyFill="1" applyBorder="1" applyAlignment="1">
      <alignment horizontal="right" vertical="top"/>
    </xf>
    <xf numFmtId="0" fontId="31" fillId="0" borderId="25" xfId="0" applyFont="1" applyFill="1" applyBorder="1" applyAlignment="1" quotePrefix="1">
      <alignment wrapText="1"/>
    </xf>
    <xf numFmtId="0" fontId="29" fillId="0" borderId="0" xfId="0" applyFont="1" applyFill="1" applyAlignment="1">
      <alignment vertical="top" wrapText="1"/>
    </xf>
    <xf numFmtId="0" fontId="29" fillId="0" borderId="26" xfId="0" applyFont="1" applyFill="1" applyBorder="1" applyAlignment="1">
      <alignment horizontal="right"/>
    </xf>
    <xf numFmtId="0" fontId="29" fillId="0" borderId="25" xfId="0" applyFont="1" applyFill="1" applyBorder="1" applyAlignment="1" quotePrefix="1">
      <alignment wrapText="1"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 quotePrefix="1">
      <alignment/>
    </xf>
    <xf numFmtId="0" fontId="29" fillId="0" borderId="29" xfId="0" applyFont="1" applyFill="1" applyBorder="1" applyAlignment="1">
      <alignment horizontal="right"/>
    </xf>
    <xf numFmtId="0" fontId="29" fillId="0" borderId="29" xfId="0" applyFont="1" applyFill="1" applyBorder="1" applyAlignment="1">
      <alignment horizontal="center"/>
    </xf>
    <xf numFmtId="0" fontId="31" fillId="0" borderId="28" xfId="0" applyFont="1" applyFill="1" applyBorder="1" applyAlignment="1">
      <alignment horizontal="right"/>
    </xf>
    <xf numFmtId="0" fontId="31" fillId="0" borderId="37" xfId="0" applyFont="1" applyFill="1" applyBorder="1" applyAlignment="1" quotePrefix="1">
      <alignment wrapText="1"/>
    </xf>
    <xf numFmtId="0" fontId="31" fillId="0" borderId="28" xfId="0" applyFont="1" applyFill="1" applyBorder="1" applyAlignment="1">
      <alignment/>
    </xf>
    <xf numFmtId="0" fontId="31" fillId="0" borderId="26" xfId="0" applyFont="1" applyFill="1" applyBorder="1" applyAlignment="1">
      <alignment horizontal="right"/>
    </xf>
    <xf numFmtId="0" fontId="31" fillId="0" borderId="42" xfId="0" applyFont="1" applyFill="1" applyBorder="1" applyAlignment="1" quotePrefix="1">
      <alignment wrapText="1"/>
    </xf>
    <xf numFmtId="0" fontId="29" fillId="0" borderId="42" xfId="0" applyFont="1" applyFill="1" applyBorder="1" applyAlignment="1" quotePrefix="1">
      <alignment wrapText="1"/>
    </xf>
    <xf numFmtId="204" fontId="29" fillId="0" borderId="34" xfId="0" applyNumberFormat="1" applyFont="1" applyFill="1" applyBorder="1" applyAlignment="1">
      <alignment/>
    </xf>
    <xf numFmtId="0" fontId="29" fillId="0" borderId="34" xfId="0" applyFont="1" applyFill="1" applyBorder="1" applyAlignment="1">
      <alignment horizontal="center"/>
    </xf>
    <xf numFmtId="0" fontId="29" fillId="0" borderId="47" xfId="0" applyFont="1" applyFill="1" applyBorder="1" applyAlignment="1">
      <alignment/>
    </xf>
    <xf numFmtId="43" fontId="38" fillId="0" borderId="34" xfId="42" applyFont="1" applyFill="1" applyBorder="1" applyAlignment="1">
      <alignment/>
    </xf>
    <xf numFmtId="0" fontId="29" fillId="0" borderId="47" xfId="0" applyFont="1" applyFill="1" applyBorder="1" applyAlignment="1" quotePrefix="1">
      <alignment/>
    </xf>
    <xf numFmtId="0" fontId="38" fillId="0" borderId="34" xfId="0" applyFont="1" applyFill="1" applyBorder="1" applyAlignment="1">
      <alignment horizontal="center"/>
    </xf>
    <xf numFmtId="9" fontId="29" fillId="0" borderId="0" xfId="0" applyNumberFormat="1" applyFont="1" applyFill="1" applyAlignment="1">
      <alignment/>
    </xf>
    <xf numFmtId="0" fontId="29" fillId="0" borderId="33" xfId="0" applyFont="1" applyFill="1" applyBorder="1" applyAlignment="1" quotePrefix="1">
      <alignment/>
    </xf>
    <xf numFmtId="206" fontId="38" fillId="0" borderId="42" xfId="0" applyNumberFormat="1" applyFont="1" applyFill="1" applyBorder="1" applyAlignment="1">
      <alignment/>
    </xf>
    <xf numFmtId="0" fontId="31" fillId="0" borderId="43" xfId="0" applyFont="1" applyFill="1" applyBorder="1" applyAlignment="1">
      <alignment horizontal="center"/>
    </xf>
    <xf numFmtId="0" fontId="31" fillId="0" borderId="29" xfId="0" applyFont="1" applyFill="1" applyBorder="1" applyAlignment="1">
      <alignment horizontal="center"/>
    </xf>
    <xf numFmtId="9" fontId="29" fillId="0" borderId="0" xfId="63" applyFont="1" applyFill="1" applyAlignment="1">
      <alignment/>
    </xf>
    <xf numFmtId="0" fontId="29" fillId="0" borderId="0" xfId="0" applyFont="1" applyFill="1" applyAlignment="1">
      <alignment horizontal="center"/>
    </xf>
    <xf numFmtId="43" fontId="29" fillId="0" borderId="0" xfId="42" applyFont="1" applyFill="1" applyAlignment="1">
      <alignment horizontal="right"/>
    </xf>
    <xf numFmtId="0" fontId="31" fillId="0" borderId="28" xfId="0" applyFont="1" applyFill="1" applyBorder="1" applyAlignment="1">
      <alignment horizontal="center"/>
    </xf>
    <xf numFmtId="0" fontId="31" fillId="0" borderId="28" xfId="0" applyFont="1" applyFill="1" applyBorder="1" applyAlignment="1" quotePrefix="1">
      <alignment/>
    </xf>
    <xf numFmtId="0" fontId="31" fillId="0" borderId="26" xfId="0" applyFont="1" applyFill="1" applyBorder="1" applyAlignment="1" quotePrefix="1">
      <alignment vertical="center" wrapText="1"/>
    </xf>
    <xf numFmtId="0" fontId="29" fillId="0" borderId="26" xfId="0" applyFont="1" applyFill="1" applyBorder="1" applyAlignment="1">
      <alignment vertical="top" wrapText="1"/>
    </xf>
    <xf numFmtId="0" fontId="29" fillId="0" borderId="0" xfId="0" applyFont="1" applyFill="1" applyBorder="1" applyAlignment="1">
      <alignment vertical="top" wrapText="1"/>
    </xf>
    <xf numFmtId="0" fontId="31" fillId="0" borderId="26" xfId="0" applyFont="1" applyFill="1" applyBorder="1" applyAlignment="1" quotePrefix="1">
      <alignment/>
    </xf>
    <xf numFmtId="0" fontId="29" fillId="0" borderId="26" xfId="0" applyFont="1" applyFill="1" applyBorder="1" applyAlignment="1">
      <alignment horizontal="center" vertical="top"/>
    </xf>
    <xf numFmtId="43" fontId="29" fillId="0" borderId="0" xfId="0" applyNumberFormat="1" applyFont="1" applyFill="1" applyBorder="1" applyAlignment="1">
      <alignment vertical="top" wrapText="1"/>
    </xf>
    <xf numFmtId="0" fontId="29" fillId="0" borderId="26" xfId="0" applyFont="1" applyFill="1" applyBorder="1" applyAlignment="1" quotePrefix="1">
      <alignment horizontal="left" vertical="top" wrapText="1"/>
    </xf>
    <xf numFmtId="0" fontId="31" fillId="0" borderId="0" xfId="0" applyFont="1" applyFill="1" applyBorder="1" applyAlignment="1">
      <alignment vertical="top" wrapText="1"/>
    </xf>
    <xf numFmtId="0" fontId="29" fillId="0" borderId="28" xfId="0" applyFont="1" applyFill="1" applyBorder="1" applyAlignment="1">
      <alignment horizontal="center"/>
    </xf>
    <xf numFmtId="0" fontId="29" fillId="0" borderId="28" xfId="0" applyFont="1" applyFill="1" applyBorder="1" applyAlignment="1" quotePrefix="1">
      <alignment/>
    </xf>
    <xf numFmtId="0" fontId="29" fillId="0" borderId="26" xfId="0" applyFont="1" applyFill="1" applyBorder="1" applyAlignment="1" quotePrefix="1">
      <alignment wrapText="1"/>
    </xf>
    <xf numFmtId="0" fontId="31" fillId="0" borderId="26" xfId="0" applyFont="1" applyFill="1" applyBorder="1" applyAlignment="1" quotePrefix="1">
      <alignment horizontal="center"/>
    </xf>
    <xf numFmtId="0" fontId="31" fillId="0" borderId="26" xfId="0" applyFont="1" applyFill="1" applyBorder="1" applyAlignment="1" quotePrefix="1">
      <alignment wrapText="1"/>
    </xf>
    <xf numFmtId="0" fontId="31" fillId="0" borderId="29" xfId="0" applyFont="1" applyFill="1" applyBorder="1" applyAlignment="1" quotePrefix="1">
      <alignment/>
    </xf>
    <xf numFmtId="0" fontId="31" fillId="0" borderId="29" xfId="0" applyFont="1" applyFill="1" applyBorder="1" applyAlignment="1">
      <alignment/>
    </xf>
    <xf numFmtId="0" fontId="29" fillId="0" borderId="28" xfId="0" applyFont="1" applyFill="1" applyBorder="1" applyAlignment="1">
      <alignment horizontal="right"/>
    </xf>
    <xf numFmtId="0" fontId="31" fillId="0" borderId="26" xfId="0" applyFont="1" applyFill="1" applyBorder="1" applyAlignment="1" quotePrefix="1">
      <alignment horizontal="left" wrapText="1"/>
    </xf>
    <xf numFmtId="0" fontId="31" fillId="0" borderId="26" xfId="0" applyFont="1" applyFill="1" applyBorder="1" applyAlignment="1">
      <alignment vertical="center"/>
    </xf>
    <xf numFmtId="0" fontId="29" fillId="0" borderId="26" xfId="0" applyFont="1" applyFill="1" applyBorder="1" applyAlignment="1" quotePrefix="1">
      <alignment horizontal="center"/>
    </xf>
    <xf numFmtId="0" fontId="31" fillId="0" borderId="26" xfId="0" applyFont="1" applyFill="1" applyBorder="1" applyAlignment="1" quotePrefix="1">
      <alignment vertical="top" wrapText="1"/>
    </xf>
    <xf numFmtId="0" fontId="29" fillId="0" borderId="29" xfId="0" applyFont="1" applyFill="1" applyBorder="1" applyAlignment="1" quotePrefix="1">
      <alignment horizontal="left" vertical="top" wrapText="1"/>
    </xf>
    <xf numFmtId="0" fontId="29" fillId="0" borderId="28" xfId="0" applyFont="1" applyFill="1" applyBorder="1" applyAlignment="1" quotePrefix="1">
      <alignment wrapText="1"/>
    </xf>
    <xf numFmtId="0" fontId="31" fillId="0" borderId="29" xfId="0" applyFont="1" applyFill="1" applyBorder="1" applyAlignment="1" quotePrefix="1">
      <alignment horizontal="left" wrapText="1"/>
    </xf>
    <xf numFmtId="0" fontId="31" fillId="0" borderId="29" xfId="0" applyFont="1" applyFill="1" applyBorder="1" applyAlignment="1">
      <alignment vertical="center"/>
    </xf>
    <xf numFmtId="0" fontId="31" fillId="0" borderId="28" xfId="0" applyFont="1" applyFill="1" applyBorder="1" applyAlignment="1">
      <alignment horizontal="right" vertical="top"/>
    </xf>
    <xf numFmtId="0" fontId="31" fillId="0" borderId="28" xfId="0" applyFont="1" applyFill="1" applyBorder="1" applyAlignment="1" quotePrefix="1">
      <alignment wrapText="1"/>
    </xf>
    <xf numFmtId="0" fontId="29" fillId="0" borderId="28" xfId="0" applyFont="1" applyFill="1" applyBorder="1" applyAlignment="1" quotePrefix="1">
      <alignment horizontal="left" vertical="top" wrapText="1"/>
    </xf>
    <xf numFmtId="2" fontId="29" fillId="0" borderId="26" xfId="0" applyNumberFormat="1" applyFont="1" applyFill="1" applyBorder="1" applyAlignment="1">
      <alignment/>
    </xf>
    <xf numFmtId="0" fontId="31" fillId="0" borderId="28" xfId="0" applyFont="1" applyFill="1" applyBorder="1" applyAlignment="1" quotePrefix="1">
      <alignment horizontal="left" wrapText="1"/>
    </xf>
    <xf numFmtId="0" fontId="31" fillId="0" borderId="28" xfId="0" applyFont="1" applyFill="1" applyBorder="1" applyAlignment="1">
      <alignment vertical="center"/>
    </xf>
    <xf numFmtId="2" fontId="31" fillId="0" borderId="26" xfId="0" applyNumberFormat="1" applyFont="1" applyFill="1" applyBorder="1" applyAlignment="1">
      <alignment horizontal="right" vertical="top"/>
    </xf>
    <xf numFmtId="0" fontId="29" fillId="0" borderId="26" xfId="0" applyFont="1" applyFill="1" applyBorder="1" applyAlignment="1">
      <alignment horizontal="left" vertical="top" wrapText="1"/>
    </xf>
    <xf numFmtId="0" fontId="31" fillId="0" borderId="26" xfId="0" applyFont="1" applyFill="1" applyBorder="1" applyAlignment="1">
      <alignment vertical="top"/>
    </xf>
    <xf numFmtId="0" fontId="31" fillId="0" borderId="26" xfId="0" applyFont="1" applyFill="1" applyBorder="1" applyAlignment="1" quotePrefix="1">
      <alignment horizontal="left"/>
    </xf>
    <xf numFmtId="204" fontId="29" fillId="0" borderId="26" xfId="75" applyNumberFormat="1" applyFont="1" applyFill="1" applyBorder="1">
      <alignment/>
      <protection/>
    </xf>
    <xf numFmtId="0" fontId="31" fillId="0" borderId="25" xfId="0" applyFont="1" applyFill="1" applyBorder="1" applyAlignment="1" quotePrefix="1">
      <alignment vertical="top" wrapText="1"/>
    </xf>
    <xf numFmtId="0" fontId="29" fillId="0" borderId="25" xfId="0" applyFont="1" applyFill="1" applyBorder="1" applyAlignment="1" quotePrefix="1">
      <alignment horizontal="left" vertical="top" wrapText="1"/>
    </xf>
    <xf numFmtId="0" fontId="29" fillId="0" borderId="32" xfId="0" applyFont="1" applyFill="1" applyBorder="1" applyAlignment="1">
      <alignment horizontal="center"/>
    </xf>
    <xf numFmtId="0" fontId="31" fillId="0" borderId="48" xfId="0" applyFont="1" applyFill="1" applyBorder="1" applyAlignment="1" quotePrefix="1">
      <alignment/>
    </xf>
    <xf numFmtId="0" fontId="29" fillId="0" borderId="25" xfId="0" applyFont="1" applyFill="1" applyBorder="1" applyAlignment="1">
      <alignment horizontal="left" vertical="top" wrapText="1"/>
    </xf>
    <xf numFmtId="0" fontId="31" fillId="0" borderId="25" xfId="0" applyFont="1" applyFill="1" applyBorder="1" applyAlignment="1" quotePrefix="1">
      <alignment horizontal="left"/>
    </xf>
    <xf numFmtId="0" fontId="31" fillId="0" borderId="26" xfId="0" applyFont="1" applyFill="1" applyBorder="1" applyAlignment="1">
      <alignment horizontal="left"/>
    </xf>
    <xf numFmtId="0" fontId="29" fillId="0" borderId="25" xfId="0" applyFont="1" applyFill="1" applyBorder="1" applyAlignment="1" quotePrefix="1">
      <alignment vertical="top" wrapText="1"/>
    </xf>
    <xf numFmtId="0" fontId="29" fillId="0" borderId="39" xfId="0" applyFont="1" applyFill="1" applyBorder="1" applyAlignment="1" quotePrefix="1">
      <alignment vertical="top" wrapText="1"/>
    </xf>
    <xf numFmtId="0" fontId="29" fillId="0" borderId="0" xfId="0" applyFont="1" applyFill="1" applyBorder="1" applyAlignment="1" quotePrefix="1">
      <alignment wrapText="1"/>
    </xf>
    <xf numFmtId="0" fontId="31" fillId="0" borderId="42" xfId="0" applyFont="1" applyFill="1" applyBorder="1" applyAlignment="1">
      <alignment/>
    </xf>
    <xf numFmtId="0" fontId="31" fillId="0" borderId="42" xfId="0" applyFont="1" applyFill="1" applyBorder="1" applyAlignment="1">
      <alignment vertical="center"/>
    </xf>
    <xf numFmtId="0" fontId="29" fillId="0" borderId="47" xfId="75" applyFont="1" applyFill="1" applyBorder="1" applyAlignment="1" quotePrefix="1">
      <alignment horizontal="left" wrapText="1"/>
      <protection/>
    </xf>
    <xf numFmtId="0" fontId="29" fillId="0" borderId="47" xfId="75" applyFont="1" applyFill="1" applyBorder="1" applyAlignment="1" quotePrefix="1">
      <alignment horizontal="left"/>
      <protection/>
    </xf>
    <xf numFmtId="0" fontId="31" fillId="0" borderId="47" xfId="75" applyFont="1" applyFill="1" applyBorder="1" applyAlignment="1" quotePrefix="1">
      <alignment horizontal="center"/>
      <protection/>
    </xf>
    <xf numFmtId="0" fontId="31" fillId="0" borderId="47" xfId="75" applyFont="1" applyFill="1" applyBorder="1" applyAlignment="1" quotePrefix="1">
      <alignment horizontal="left"/>
      <protection/>
    </xf>
    <xf numFmtId="0" fontId="31" fillId="0" borderId="25" xfId="0" applyFont="1" applyFill="1" applyBorder="1" applyAlignment="1" quotePrefix="1">
      <alignment horizontal="center" vertical="center" wrapText="1"/>
    </xf>
    <xf numFmtId="0" fontId="31" fillId="0" borderId="25" xfId="0" applyFont="1" applyFill="1" applyBorder="1" applyAlignment="1" quotePrefix="1">
      <alignment horizontal="left" vertical="top" wrapText="1"/>
    </xf>
    <xf numFmtId="0" fontId="31" fillId="0" borderId="25" xfId="0" applyFont="1" applyFill="1" applyBorder="1" applyAlignment="1" quotePrefix="1">
      <alignment horizontal="center"/>
    </xf>
    <xf numFmtId="0" fontId="29" fillId="0" borderId="47" xfId="75" applyFont="1" applyFill="1" applyBorder="1" quotePrefix="1">
      <alignment/>
      <protection/>
    </xf>
    <xf numFmtId="0" fontId="29" fillId="0" borderId="25" xfId="75" applyFont="1" applyFill="1" applyBorder="1" applyAlignment="1" quotePrefix="1">
      <alignment wrapText="1"/>
      <protection/>
    </xf>
    <xf numFmtId="0" fontId="31" fillId="0" borderId="25" xfId="0" applyFont="1" applyFill="1" applyBorder="1" applyAlignment="1" quotePrefix="1">
      <alignment horizontal="left" vertical="center" wrapText="1"/>
    </xf>
    <xf numFmtId="0" fontId="29" fillId="0" borderId="25" xfId="0" applyFont="1" applyFill="1" applyBorder="1" applyAlignment="1">
      <alignment wrapText="1"/>
    </xf>
    <xf numFmtId="43" fontId="29" fillId="0" borderId="47" xfId="44" applyFont="1" applyFill="1" applyBorder="1" applyAlignment="1">
      <alignment/>
    </xf>
    <xf numFmtId="43" fontId="29" fillId="0" borderId="47" xfId="44" applyFont="1" applyFill="1" applyBorder="1" applyAlignment="1">
      <alignment vertical="center"/>
    </xf>
    <xf numFmtId="203" fontId="35" fillId="0" borderId="0" xfId="78" applyFont="1" applyFill="1" applyBorder="1" applyAlignment="1">
      <alignment horizontal="left"/>
      <protection/>
    </xf>
    <xf numFmtId="203" fontId="35" fillId="0" borderId="0" xfId="48" applyFont="1" applyFill="1" applyBorder="1" applyAlignment="1">
      <alignment horizontal="center"/>
      <protection/>
    </xf>
    <xf numFmtId="0" fontId="35" fillId="0" borderId="0" xfId="0" applyFont="1" applyFill="1" applyBorder="1" applyAlignment="1">
      <alignment/>
    </xf>
    <xf numFmtId="43" fontId="29" fillId="0" borderId="34" xfId="44" applyFont="1" applyFill="1" applyBorder="1" applyAlignment="1">
      <alignment vertical="center"/>
    </xf>
    <xf numFmtId="43" fontId="29" fillId="0" borderId="34" xfId="44" applyFont="1" applyFill="1" applyBorder="1" applyAlignment="1">
      <alignment/>
    </xf>
    <xf numFmtId="0" fontId="29" fillId="0" borderId="46" xfId="0" applyFont="1" applyFill="1" applyBorder="1" applyAlignment="1">
      <alignment horizontal="right"/>
    </xf>
    <xf numFmtId="0" fontId="31" fillId="0" borderId="39" xfId="0" applyFont="1" applyFill="1" applyBorder="1" applyAlignment="1">
      <alignment horizontal="center"/>
    </xf>
    <xf numFmtId="0" fontId="31" fillId="0" borderId="44" xfId="0" applyFont="1" applyFill="1" applyBorder="1" applyAlignment="1">
      <alignment/>
    </xf>
    <xf numFmtId="194" fontId="31" fillId="0" borderId="29" xfId="0" applyNumberFormat="1" applyFont="1" applyFill="1" applyBorder="1" applyAlignment="1">
      <alignment/>
    </xf>
    <xf numFmtId="0" fontId="35" fillId="0" borderId="0" xfId="0" applyFont="1" applyFill="1" applyAlignment="1">
      <alignment horizontal="center"/>
    </xf>
    <xf numFmtId="43" fontId="35" fillId="0" borderId="0" xfId="42" applyFont="1" applyFill="1" applyAlignment="1">
      <alignment horizontal="right"/>
    </xf>
    <xf numFmtId="0" fontId="31" fillId="0" borderId="11" xfId="0" applyFont="1" applyFill="1" applyBorder="1" applyAlignment="1">
      <alignment/>
    </xf>
    <xf numFmtId="0" fontId="31" fillId="0" borderId="19" xfId="0" applyFont="1" applyFill="1" applyBorder="1" applyAlignment="1">
      <alignment/>
    </xf>
    <xf numFmtId="0" fontId="31" fillId="0" borderId="14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16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 vertical="top" wrapText="1"/>
    </xf>
    <xf numFmtId="43" fontId="31" fillId="0" borderId="0" xfId="0" applyNumberFormat="1" applyFont="1" applyFill="1" applyBorder="1" applyAlignment="1">
      <alignment/>
    </xf>
    <xf numFmtId="0" fontId="31" fillId="0" borderId="25" xfId="0" applyFont="1" applyFill="1" applyBorder="1" applyAlignment="1">
      <alignment horizontal="center"/>
    </xf>
    <xf numFmtId="194" fontId="31" fillId="0" borderId="26" xfId="0" applyNumberFormat="1" applyFont="1" applyFill="1" applyBorder="1" applyAlignment="1">
      <alignment/>
    </xf>
    <xf numFmtId="43" fontId="29" fillId="0" borderId="0" xfId="0" applyNumberFormat="1" applyFont="1" applyFill="1" applyAlignment="1">
      <alignment vertical="top" wrapText="1"/>
    </xf>
    <xf numFmtId="0" fontId="31" fillId="0" borderId="25" xfId="0" applyFont="1" applyFill="1" applyBorder="1" applyAlignment="1">
      <alignment horizontal="left" wrapText="1"/>
    </xf>
    <xf numFmtId="194" fontId="31" fillId="0" borderId="26" xfId="0" applyNumberFormat="1" applyFont="1" applyFill="1" applyBorder="1" applyAlignment="1">
      <alignment vertical="center"/>
    </xf>
    <xf numFmtId="43" fontId="29" fillId="0" borderId="0" xfId="0" applyNumberFormat="1" applyFont="1" applyFill="1" applyBorder="1" applyAlignment="1">
      <alignment/>
    </xf>
    <xf numFmtId="0" fontId="31" fillId="0" borderId="37" xfId="0" applyFont="1" applyFill="1" applyBorder="1" applyAlignment="1">
      <alignment horizontal="left" wrapText="1"/>
    </xf>
    <xf numFmtId="194" fontId="31" fillId="0" borderId="28" xfId="0" applyNumberFormat="1" applyFont="1" applyFill="1" applyBorder="1" applyAlignment="1">
      <alignment vertical="center"/>
    </xf>
    <xf numFmtId="43" fontId="29" fillId="0" borderId="0" xfId="0" applyNumberFormat="1" applyFont="1" applyFill="1" applyBorder="1" applyAlignment="1">
      <alignment horizontal="center" vertical="center"/>
    </xf>
    <xf numFmtId="0" fontId="31" fillId="0" borderId="39" xfId="0" applyFont="1" applyFill="1" applyBorder="1" applyAlignment="1">
      <alignment horizontal="left"/>
    </xf>
    <xf numFmtId="0" fontId="31" fillId="0" borderId="28" xfId="0" applyFont="1" applyFill="1" applyBorder="1" applyAlignment="1">
      <alignment horizontal="right" vertical="center"/>
    </xf>
    <xf numFmtId="0" fontId="31" fillId="0" borderId="25" xfId="0" applyFont="1" applyFill="1" applyBorder="1" applyAlignment="1">
      <alignment horizontal="left"/>
    </xf>
    <xf numFmtId="2" fontId="31" fillId="0" borderId="26" xfId="0" applyNumberFormat="1" applyFont="1" applyFill="1" applyBorder="1" applyAlignment="1">
      <alignment horizontal="right"/>
    </xf>
    <xf numFmtId="43" fontId="29" fillId="0" borderId="26" xfId="42" applyFont="1" applyFill="1" applyBorder="1" applyAlignment="1">
      <alignment horizontal="center"/>
    </xf>
    <xf numFmtId="194" fontId="29" fillId="0" borderId="26" xfId="0" applyNumberFormat="1" applyFont="1" applyFill="1" applyBorder="1" applyAlignment="1">
      <alignment horizontal="right"/>
    </xf>
    <xf numFmtId="2" fontId="29" fillId="0" borderId="26" xfId="0" applyNumberFormat="1" applyFont="1" applyFill="1" applyBorder="1" applyAlignment="1">
      <alignment horizontal="right"/>
    </xf>
    <xf numFmtId="194" fontId="29" fillId="0" borderId="26" xfId="0" applyNumberFormat="1" applyFont="1" applyFill="1" applyBorder="1" applyAlignment="1">
      <alignment horizontal="center"/>
    </xf>
    <xf numFmtId="194" fontId="29" fillId="0" borderId="26" xfId="44" applyNumberFormat="1" applyFont="1" applyFill="1" applyBorder="1" applyAlignment="1">
      <alignment/>
    </xf>
    <xf numFmtId="0" fontId="31" fillId="0" borderId="29" xfId="0" applyFont="1" applyFill="1" applyBorder="1" applyAlignment="1">
      <alignment horizontal="left"/>
    </xf>
    <xf numFmtId="0" fontId="31" fillId="0" borderId="28" xfId="0" applyFont="1" applyFill="1" applyBorder="1" applyAlignment="1">
      <alignment horizontal="left"/>
    </xf>
    <xf numFmtId="194" fontId="31" fillId="0" borderId="28" xfId="0" applyNumberFormat="1" applyFont="1" applyFill="1" applyBorder="1" applyAlignment="1">
      <alignment/>
    </xf>
    <xf numFmtId="0" fontId="29" fillId="0" borderId="26" xfId="0" applyFont="1" applyFill="1" applyBorder="1" applyAlignment="1" quotePrefix="1">
      <alignment horizontal="left"/>
    </xf>
    <xf numFmtId="0" fontId="31" fillId="0" borderId="49" xfId="0" applyFont="1" applyFill="1" applyBorder="1" applyAlignment="1">
      <alignment horizontal="center"/>
    </xf>
    <xf numFmtId="0" fontId="29" fillId="0" borderId="32" xfId="0" applyFont="1" applyFill="1" applyBorder="1" applyAlignment="1">
      <alignment/>
    </xf>
    <xf numFmtId="0" fontId="31" fillId="0" borderId="27" xfId="0" applyFont="1" applyFill="1" applyBorder="1" applyAlignment="1">
      <alignment horizontal="right"/>
    </xf>
    <xf numFmtId="0" fontId="31" fillId="0" borderId="27" xfId="0" applyFont="1" applyFill="1" applyBorder="1" applyAlignment="1">
      <alignment horizontal="center"/>
    </xf>
    <xf numFmtId="0" fontId="29" fillId="0" borderId="27" xfId="0" applyFont="1" applyFill="1" applyBorder="1" applyAlignment="1">
      <alignment horizontal="center"/>
    </xf>
    <xf numFmtId="0" fontId="31" fillId="0" borderId="27" xfId="0" applyFont="1" applyFill="1" applyBorder="1" applyAlignment="1">
      <alignment horizontal="right" vertical="top"/>
    </xf>
    <xf numFmtId="0" fontId="29" fillId="0" borderId="40" xfId="0" applyFont="1" applyFill="1" applyBorder="1" applyAlignment="1">
      <alignment horizontal="center"/>
    </xf>
    <xf numFmtId="0" fontId="29" fillId="0" borderId="36" xfId="0" applyFont="1" applyFill="1" applyBorder="1" applyAlignment="1">
      <alignment horizontal="center"/>
    </xf>
    <xf numFmtId="0" fontId="31" fillId="0" borderId="40" xfId="0" applyFont="1" applyFill="1" applyBorder="1" applyAlignment="1">
      <alignment horizontal="right"/>
    </xf>
    <xf numFmtId="0" fontId="31" fillId="0" borderId="39" xfId="0" applyFont="1" applyFill="1" applyBorder="1" applyAlignment="1" quotePrefix="1">
      <alignment horizontal="center"/>
    </xf>
    <xf numFmtId="0" fontId="31" fillId="0" borderId="36" xfId="0" applyFont="1" applyFill="1" applyBorder="1" applyAlignment="1">
      <alignment horizontal="right"/>
    </xf>
    <xf numFmtId="0" fontId="39" fillId="0" borderId="25" xfId="0" applyFont="1" applyFill="1" applyBorder="1" applyAlignment="1" quotePrefix="1">
      <alignment horizontal="center"/>
    </xf>
    <xf numFmtId="0" fontId="31" fillId="0" borderId="27" xfId="0" applyFont="1" applyFill="1" applyBorder="1" applyAlignment="1">
      <alignment vertical="top"/>
    </xf>
    <xf numFmtId="0" fontId="29" fillId="0" borderId="27" xfId="0" applyFont="1" applyFill="1" applyBorder="1" applyAlignment="1">
      <alignment/>
    </xf>
    <xf numFmtId="0" fontId="29" fillId="0" borderId="40" xfId="0" applyFont="1" applyFill="1" applyBorder="1" applyAlignment="1">
      <alignment/>
    </xf>
    <xf numFmtId="0" fontId="31" fillId="0" borderId="36" xfId="0" applyFont="1" applyFill="1" applyBorder="1" applyAlignment="1">
      <alignment/>
    </xf>
    <xf numFmtId="0" fontId="31" fillId="0" borderId="27" xfId="0" applyFont="1" applyFill="1" applyBorder="1" applyAlignment="1">
      <alignment/>
    </xf>
    <xf numFmtId="0" fontId="31" fillId="0" borderId="26" xfId="0" applyFont="1" applyFill="1" applyBorder="1" applyAlignment="1">
      <alignment/>
    </xf>
    <xf numFmtId="2" fontId="31" fillId="0" borderId="26" xfId="0" applyNumberFormat="1" applyFont="1" applyFill="1" applyBorder="1" applyAlignment="1">
      <alignment/>
    </xf>
    <xf numFmtId="194" fontId="29" fillId="0" borderId="26" xfId="0" applyNumberFormat="1" applyFont="1" applyFill="1" applyBorder="1" applyAlignment="1">
      <alignment/>
    </xf>
    <xf numFmtId="2" fontId="31" fillId="0" borderId="27" xfId="0" applyNumberFormat="1" applyFont="1" applyFill="1" applyBorder="1" applyAlignment="1">
      <alignment/>
    </xf>
    <xf numFmtId="205" fontId="31" fillId="0" borderId="40" xfId="0" applyNumberFormat="1" applyFont="1" applyFill="1" applyBorder="1" applyAlignment="1">
      <alignment vertical="top"/>
    </xf>
    <xf numFmtId="0" fontId="29" fillId="0" borderId="39" xfId="0" applyFont="1" applyFill="1" applyBorder="1" applyAlignment="1" quotePrefix="1">
      <alignment wrapText="1"/>
    </xf>
    <xf numFmtId="0" fontId="29" fillId="0" borderId="36" xfId="0" applyFont="1" applyFill="1" applyBorder="1" applyAlignment="1">
      <alignment/>
    </xf>
    <xf numFmtId="0" fontId="29" fillId="0" borderId="37" xfId="0" applyFont="1" applyFill="1" applyBorder="1" applyAlignment="1" quotePrefix="1">
      <alignment wrapText="1"/>
    </xf>
    <xf numFmtId="205" fontId="31" fillId="0" borderId="27" xfId="0" applyNumberFormat="1" applyFont="1" applyFill="1" applyBorder="1" applyAlignment="1">
      <alignment horizontal="right"/>
    </xf>
    <xf numFmtId="0" fontId="31" fillId="0" borderId="25" xfId="0" applyFont="1" applyFill="1" applyBorder="1" applyAlignment="1">
      <alignment horizontal="left" vertical="center" wrapText="1"/>
    </xf>
    <xf numFmtId="0" fontId="31" fillId="0" borderId="26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/>
    </xf>
    <xf numFmtId="0" fontId="29" fillId="0" borderId="25" xfId="0" applyFont="1" applyFill="1" applyBorder="1" applyAlignment="1">
      <alignment horizontal="center"/>
    </xf>
    <xf numFmtId="0" fontId="29" fillId="0" borderId="39" xfId="0" applyFont="1" applyFill="1" applyBorder="1" applyAlignment="1">
      <alignment horizontal="center"/>
    </xf>
    <xf numFmtId="0" fontId="52" fillId="0" borderId="0" xfId="0" applyFont="1" applyFill="1" applyAlignment="1">
      <alignment/>
    </xf>
    <xf numFmtId="0" fontId="31" fillId="0" borderId="36" xfId="0" applyFont="1" applyFill="1" applyBorder="1" applyAlignment="1">
      <alignment horizontal="center"/>
    </xf>
    <xf numFmtId="0" fontId="29" fillId="0" borderId="32" xfId="0" applyFont="1" applyFill="1" applyBorder="1" applyAlignment="1">
      <alignment horizontal="center" wrapText="1"/>
    </xf>
    <xf numFmtId="0" fontId="29" fillId="0" borderId="32" xfId="0" applyFont="1" applyFill="1" applyBorder="1" applyAlignment="1">
      <alignment/>
    </xf>
    <xf numFmtId="0" fontId="31" fillId="0" borderId="26" xfId="0" applyFont="1" applyFill="1" applyBorder="1" applyAlignment="1">
      <alignment horizontal="center" wrapText="1"/>
    </xf>
    <xf numFmtId="0" fontId="52" fillId="0" borderId="0" xfId="0" applyFont="1" applyFill="1" applyAlignment="1">
      <alignment vertical="top" wrapText="1"/>
    </xf>
    <xf numFmtId="43" fontId="52" fillId="0" borderId="0" xfId="0" applyNumberFormat="1" applyFont="1" applyFill="1" applyAlignment="1">
      <alignment vertical="top" wrapText="1"/>
    </xf>
    <xf numFmtId="0" fontId="31" fillId="0" borderId="29" xfId="0" applyFont="1" applyFill="1" applyBorder="1" applyAlignment="1">
      <alignment horizontal="center" wrapText="1"/>
    </xf>
    <xf numFmtId="194" fontId="31" fillId="0" borderId="29" xfId="0" applyNumberFormat="1" applyFont="1" applyFill="1" applyBorder="1" applyAlignment="1">
      <alignment/>
    </xf>
    <xf numFmtId="0" fontId="31" fillId="0" borderId="49" xfId="0" applyFont="1" applyFill="1" applyBorder="1" applyAlignment="1">
      <alignment horizontal="right"/>
    </xf>
    <xf numFmtId="0" fontId="31" fillId="0" borderId="32" xfId="0" applyFont="1" applyFill="1" applyBorder="1" applyAlignment="1">
      <alignment/>
    </xf>
    <xf numFmtId="194" fontId="31" fillId="0" borderId="32" xfId="0" applyNumberFormat="1" applyFont="1" applyFill="1" applyBorder="1" applyAlignment="1">
      <alignment/>
    </xf>
    <xf numFmtId="0" fontId="31" fillId="0" borderId="32" xfId="0" applyFont="1" applyFill="1" applyBorder="1" applyAlignment="1">
      <alignment horizontal="center" wrapText="1"/>
    </xf>
    <xf numFmtId="194" fontId="31" fillId="0" borderId="32" xfId="0" applyNumberFormat="1" applyFont="1" applyFill="1" applyBorder="1" applyAlignment="1">
      <alignment/>
    </xf>
    <xf numFmtId="43" fontId="52" fillId="0" borderId="0" xfId="0" applyNumberFormat="1" applyFont="1" applyFill="1" applyAlignment="1">
      <alignment/>
    </xf>
    <xf numFmtId="194" fontId="31" fillId="0" borderId="26" xfId="0" applyNumberFormat="1" applyFont="1" applyFill="1" applyBorder="1" applyAlignment="1">
      <alignment/>
    </xf>
    <xf numFmtId="0" fontId="31" fillId="0" borderId="25" xfId="0" applyFont="1" applyFill="1" applyBorder="1" applyAlignment="1">
      <alignment/>
    </xf>
    <xf numFmtId="0" fontId="52" fillId="0" borderId="0" xfId="0" applyFont="1" applyFill="1" applyAlignment="1">
      <alignment horizontal="center"/>
    </xf>
    <xf numFmtId="43" fontId="52" fillId="0" borderId="0" xfId="42" applyFont="1" applyFill="1" applyAlignment="1">
      <alignment horizontal="right"/>
    </xf>
    <xf numFmtId="210" fontId="52" fillId="0" borderId="0" xfId="42" applyNumberFormat="1" applyFont="1" applyFill="1" applyAlignment="1">
      <alignment horizontal="center" wrapText="1"/>
    </xf>
    <xf numFmtId="43" fontId="52" fillId="0" borderId="0" xfId="42" applyFont="1" applyFill="1" applyAlignment="1">
      <alignment horizontal="center" wrapText="1"/>
    </xf>
    <xf numFmtId="0" fontId="31" fillId="0" borderId="22" xfId="77" applyFont="1" applyFill="1" applyBorder="1" applyAlignment="1">
      <alignment horizontal="center" vertical="center"/>
      <protection/>
    </xf>
    <xf numFmtId="43" fontId="37" fillId="0" borderId="32" xfId="42" applyNumberFormat="1" applyFont="1" applyFill="1" applyBorder="1" applyAlignment="1">
      <alignment horizontal="right" wrapText="1"/>
    </xf>
    <xf numFmtId="202" fontId="37" fillId="0" borderId="32" xfId="69" applyNumberFormat="1" applyFont="1" applyFill="1" applyBorder="1" applyAlignment="1">
      <alignment horizontal="center"/>
    </xf>
    <xf numFmtId="0" fontId="37" fillId="0" borderId="32" xfId="69" applyNumberFormat="1" applyFont="1" applyFill="1" applyBorder="1" applyAlignment="1">
      <alignment horizontal="center"/>
    </xf>
    <xf numFmtId="0" fontId="36" fillId="0" borderId="26" xfId="0" applyFont="1" applyFill="1" applyBorder="1" applyAlignment="1">
      <alignment horizontal="center"/>
    </xf>
    <xf numFmtId="43" fontId="36" fillId="0" borderId="26" xfId="42" applyNumberFormat="1" applyFont="1" applyFill="1" applyBorder="1" applyAlignment="1">
      <alignment horizontal="right" wrapText="1"/>
    </xf>
    <xf numFmtId="43" fontId="36" fillId="0" borderId="26" xfId="69" applyFont="1" applyFill="1" applyBorder="1" applyAlignment="1">
      <alignment/>
    </xf>
    <xf numFmtId="0" fontId="36" fillId="0" borderId="29" xfId="0" applyFont="1" applyFill="1" applyBorder="1" applyAlignment="1">
      <alignment horizontal="center"/>
    </xf>
    <xf numFmtId="43" fontId="36" fillId="0" borderId="29" xfId="42" applyNumberFormat="1" applyFont="1" applyFill="1" applyBorder="1" applyAlignment="1">
      <alignment horizontal="right" wrapText="1"/>
    </xf>
    <xf numFmtId="43" fontId="36" fillId="0" borderId="29" xfId="69" applyFont="1" applyFill="1" applyBorder="1" applyAlignment="1">
      <alignment/>
    </xf>
    <xf numFmtId="0" fontId="36" fillId="0" borderId="28" xfId="0" applyFont="1" applyFill="1" applyBorder="1" applyAlignment="1">
      <alignment horizontal="center"/>
    </xf>
    <xf numFmtId="43" fontId="36" fillId="0" borderId="28" xfId="69" applyFont="1" applyFill="1" applyBorder="1" applyAlignment="1">
      <alignment horizontal="right" wrapText="1"/>
    </xf>
    <xf numFmtId="43" fontId="36" fillId="0" borderId="28" xfId="69" applyFont="1" applyFill="1" applyBorder="1" applyAlignment="1">
      <alignment/>
    </xf>
    <xf numFmtId="43" fontId="36" fillId="0" borderId="32" xfId="42" applyNumberFormat="1" applyFont="1" applyFill="1" applyBorder="1" applyAlignment="1">
      <alignment horizontal="right" wrapText="1"/>
    </xf>
    <xf numFmtId="43" fontId="36" fillId="0" borderId="26" xfId="42" applyNumberFormat="1" applyFont="1" applyFill="1" applyBorder="1" applyAlignment="1">
      <alignment horizontal="center" vertical="center" wrapText="1"/>
    </xf>
    <xf numFmtId="209" fontId="36" fillId="0" borderId="26" xfId="42" applyNumberFormat="1" applyFont="1" applyFill="1" applyBorder="1" applyAlignment="1">
      <alignment horizontal="right" wrapText="1"/>
    </xf>
    <xf numFmtId="0" fontId="36" fillId="0" borderId="26" xfId="77" applyFont="1" applyFill="1" applyBorder="1" applyAlignment="1">
      <alignment horizontal="center"/>
      <protection/>
    </xf>
    <xf numFmtId="0" fontId="37" fillId="0" borderId="26" xfId="77" applyFont="1" applyFill="1" applyBorder="1" applyAlignment="1">
      <alignment horizontal="center"/>
      <protection/>
    </xf>
    <xf numFmtId="43" fontId="36" fillId="0" borderId="26" xfId="42" applyNumberFormat="1" applyFont="1" applyFill="1" applyBorder="1" applyAlignment="1">
      <alignment horizontal="center" wrapText="1"/>
    </xf>
    <xf numFmtId="202" fontId="37" fillId="0" borderId="26" xfId="69" applyNumberFormat="1" applyFont="1" applyFill="1" applyBorder="1" applyAlignment="1">
      <alignment horizontal="center"/>
    </xf>
    <xf numFmtId="0" fontId="37" fillId="0" borderId="26" xfId="69" applyNumberFormat="1" applyFont="1" applyFill="1" applyBorder="1" applyAlignment="1">
      <alignment horizontal="center"/>
    </xf>
    <xf numFmtId="43" fontId="37" fillId="0" borderId="26" xfId="42" applyNumberFormat="1" applyFont="1" applyFill="1" applyBorder="1" applyAlignment="1">
      <alignment horizontal="right" wrapText="1"/>
    </xf>
    <xf numFmtId="0" fontId="36" fillId="0" borderId="26" xfId="77" applyFont="1" applyFill="1" applyBorder="1">
      <alignment/>
      <protection/>
    </xf>
    <xf numFmtId="9" fontId="37" fillId="0" borderId="26" xfId="69" applyNumberFormat="1" applyFont="1" applyFill="1" applyBorder="1" applyAlignment="1">
      <alignment horizontal="center"/>
    </xf>
    <xf numFmtId="0" fontId="29" fillId="0" borderId="46" xfId="0" applyFont="1" applyFill="1" applyBorder="1" applyAlignment="1">
      <alignment/>
    </xf>
    <xf numFmtId="0" fontId="31" fillId="0" borderId="0" xfId="0" applyFont="1" applyFill="1" applyBorder="1" applyAlignment="1" applyProtection="1">
      <alignment/>
      <protection/>
    </xf>
    <xf numFmtId="0" fontId="31" fillId="0" borderId="0" xfId="77" applyFont="1" applyFill="1" applyAlignment="1">
      <alignment vertical="center"/>
      <protection/>
    </xf>
    <xf numFmtId="0" fontId="29" fillId="0" borderId="24" xfId="0" applyFont="1" applyFill="1" applyBorder="1" applyAlignment="1">
      <alignment/>
    </xf>
    <xf numFmtId="4" fontId="29" fillId="0" borderId="24" xfId="77" applyNumberFormat="1" applyFont="1" applyFill="1" applyBorder="1" applyAlignment="1">
      <alignment horizontal="left" vertical="center"/>
      <protection/>
    </xf>
    <xf numFmtId="43" fontId="29" fillId="0" borderId="24" xfId="77" applyNumberFormat="1" applyFont="1" applyFill="1" applyBorder="1" applyAlignment="1">
      <alignment horizontal="right" vertical="center" wrapText="1"/>
      <protection/>
    </xf>
    <xf numFmtId="0" fontId="29" fillId="0" borderId="24" xfId="77" applyFont="1" applyFill="1" applyBorder="1" applyAlignment="1">
      <alignment vertical="center"/>
      <protection/>
    </xf>
    <xf numFmtId="0" fontId="31" fillId="0" borderId="42" xfId="77" applyFont="1" applyFill="1" applyBorder="1" applyAlignment="1">
      <alignment vertical="center"/>
      <protection/>
    </xf>
    <xf numFmtId="0" fontId="29" fillId="0" borderId="42" xfId="77" applyFont="1" applyFill="1" applyBorder="1" applyAlignment="1">
      <alignment vertical="center"/>
      <protection/>
    </xf>
    <xf numFmtId="43" fontId="29" fillId="0" borderId="42" xfId="77" applyNumberFormat="1" applyFont="1" applyFill="1" applyBorder="1" applyAlignment="1">
      <alignment horizontal="right" vertical="center" wrapText="1"/>
      <protection/>
    </xf>
    <xf numFmtId="0" fontId="36" fillId="0" borderId="42" xfId="77" applyFont="1" applyFill="1" applyBorder="1">
      <alignment/>
      <protection/>
    </xf>
    <xf numFmtId="0" fontId="36" fillId="0" borderId="42" xfId="77" applyFont="1" applyFill="1" applyBorder="1" applyAlignment="1">
      <alignment horizontal="center"/>
      <protection/>
    </xf>
    <xf numFmtId="0" fontId="29" fillId="0" borderId="42" xfId="0" applyFont="1" applyFill="1" applyBorder="1" applyAlignment="1">
      <alignment vertical="top"/>
    </xf>
    <xf numFmtId="0" fontId="36" fillId="0" borderId="42" xfId="77" applyFont="1" applyFill="1" applyBorder="1" applyAlignment="1">
      <alignment horizontal="right"/>
      <protection/>
    </xf>
    <xf numFmtId="0" fontId="31" fillId="0" borderId="42" xfId="0" applyFont="1" applyFill="1" applyBorder="1" applyAlignment="1">
      <alignment vertical="top"/>
    </xf>
    <xf numFmtId="43" fontId="29" fillId="0" borderId="42" xfId="0" applyNumberFormat="1" applyFont="1" applyFill="1" applyBorder="1" applyAlignment="1">
      <alignment horizontal="right" wrapText="1"/>
    </xf>
    <xf numFmtId="0" fontId="29" fillId="0" borderId="42" xfId="0" applyFont="1" applyFill="1" applyBorder="1" applyAlignment="1">
      <alignment/>
    </xf>
    <xf numFmtId="0" fontId="31" fillId="0" borderId="33" xfId="0" applyFont="1" applyFill="1" applyBorder="1" applyAlignment="1">
      <alignment vertical="top"/>
    </xf>
    <xf numFmtId="43" fontId="29" fillId="0" borderId="42" xfId="0" applyNumberFormat="1" applyFont="1" applyFill="1" applyBorder="1" applyAlignment="1" quotePrefix="1">
      <alignment horizontal="right" vertical="top" wrapText="1"/>
    </xf>
    <xf numFmtId="0" fontId="29" fillId="0" borderId="42" xfId="0" applyFont="1" applyFill="1" applyBorder="1" applyAlignment="1" quotePrefix="1">
      <alignment vertical="top" wrapText="1"/>
    </xf>
    <xf numFmtId="0" fontId="31" fillId="0" borderId="50" xfId="0" applyFont="1" applyFill="1" applyBorder="1" applyAlignment="1">
      <alignment vertical="top"/>
    </xf>
    <xf numFmtId="0" fontId="31" fillId="0" borderId="51" xfId="0" applyFont="1" applyFill="1" applyBorder="1" applyAlignment="1">
      <alignment vertical="top"/>
    </xf>
    <xf numFmtId="43" fontId="29" fillId="0" borderId="50" xfId="0" applyNumberFormat="1" applyFont="1" applyFill="1" applyBorder="1" applyAlignment="1">
      <alignment horizontal="right" wrapText="1"/>
    </xf>
    <xf numFmtId="0" fontId="29" fillId="0" borderId="50" xfId="0" applyFont="1" applyFill="1" applyBorder="1" applyAlignment="1">
      <alignment/>
    </xf>
    <xf numFmtId="0" fontId="31" fillId="0" borderId="0" xfId="0" applyFont="1" applyFill="1" applyBorder="1" applyAlignment="1">
      <alignment vertical="top"/>
    </xf>
    <xf numFmtId="0" fontId="29" fillId="0" borderId="0" xfId="0" applyFont="1" applyFill="1" applyBorder="1" applyAlignment="1" quotePrefix="1">
      <alignment horizontal="left" vertical="top"/>
    </xf>
    <xf numFmtId="43" fontId="29" fillId="0" borderId="0" xfId="0" applyNumberFormat="1" applyFont="1" applyFill="1" applyBorder="1" applyAlignment="1">
      <alignment horizontal="right" wrapText="1"/>
    </xf>
    <xf numFmtId="0" fontId="31" fillId="0" borderId="0" xfId="77" applyFont="1" applyFill="1" applyBorder="1" applyAlignment="1">
      <alignment horizontal="center" vertical="center"/>
      <protection/>
    </xf>
    <xf numFmtId="0" fontId="29" fillId="0" borderId="0" xfId="0" applyFont="1" applyFill="1" applyAlignment="1">
      <alignment horizontal="right"/>
    </xf>
    <xf numFmtId="43" fontId="29" fillId="0" borderId="32" xfId="0" applyNumberFormat="1" applyFont="1" applyFill="1" applyBorder="1" applyAlignment="1">
      <alignment horizontal="right" wrapText="1"/>
    </xf>
    <xf numFmtId="43" fontId="36" fillId="0" borderId="29" xfId="0" applyNumberFormat="1" applyFont="1" applyFill="1" applyBorder="1" applyAlignment="1">
      <alignment horizontal="right" wrapText="1"/>
    </xf>
    <xf numFmtId="43" fontId="29" fillId="0" borderId="28" xfId="0" applyNumberFormat="1" applyFont="1" applyFill="1" applyBorder="1" applyAlignment="1">
      <alignment horizontal="right" wrapText="1"/>
    </xf>
    <xf numFmtId="43" fontId="31" fillId="0" borderId="26" xfId="0" applyNumberFormat="1" applyFont="1" applyFill="1" applyBorder="1" applyAlignment="1">
      <alignment horizontal="right" wrapText="1"/>
    </xf>
    <xf numFmtId="43" fontId="37" fillId="0" borderId="26" xfId="0" applyNumberFormat="1" applyFont="1" applyFill="1" applyBorder="1" applyAlignment="1">
      <alignment horizontal="right" wrapText="1"/>
    </xf>
    <xf numFmtId="43" fontId="36" fillId="0" borderId="28" xfId="0" applyNumberFormat="1" applyFont="1" applyFill="1" applyBorder="1" applyAlignment="1">
      <alignment horizontal="right" wrapText="1"/>
    </xf>
    <xf numFmtId="0" fontId="37" fillId="0" borderId="26" xfId="0" applyFont="1" applyFill="1" applyBorder="1" applyAlignment="1" quotePrefix="1">
      <alignment horizontal="left"/>
    </xf>
    <xf numFmtId="43" fontId="29" fillId="0" borderId="26" xfId="0" applyNumberFormat="1" applyFont="1" applyFill="1" applyBorder="1" applyAlignment="1">
      <alignment horizontal="right" wrapText="1"/>
    </xf>
    <xf numFmtId="0" fontId="29" fillId="0" borderId="0" xfId="0" applyFont="1" applyFill="1" applyAlignment="1" quotePrefix="1">
      <alignment/>
    </xf>
    <xf numFmtId="202" fontId="29" fillId="0" borderId="0" xfId="0" applyNumberFormat="1" applyFont="1" applyFill="1" applyAlignment="1">
      <alignment/>
    </xf>
    <xf numFmtId="43" fontId="37" fillId="0" borderId="28" xfId="69" applyNumberFormat="1" applyFont="1" applyFill="1" applyBorder="1" applyAlignment="1">
      <alignment horizontal="right" wrapText="1"/>
    </xf>
    <xf numFmtId="202" fontId="37" fillId="0" borderId="28" xfId="69" applyNumberFormat="1" applyFont="1" applyFill="1" applyBorder="1" applyAlignment="1">
      <alignment horizontal="center"/>
    </xf>
    <xf numFmtId="0" fontId="37" fillId="0" borderId="28" xfId="69" applyNumberFormat="1" applyFont="1" applyFill="1" applyBorder="1" applyAlignment="1">
      <alignment horizontal="center"/>
    </xf>
    <xf numFmtId="43" fontId="29" fillId="0" borderId="0" xfId="0" applyNumberFormat="1" applyFont="1" applyFill="1" applyAlignment="1">
      <alignment horizontal="right" wrapText="1"/>
    </xf>
    <xf numFmtId="43" fontId="29" fillId="0" borderId="0" xfId="0" applyNumberFormat="1" applyFont="1" applyAlignment="1">
      <alignment/>
    </xf>
    <xf numFmtId="43" fontId="35" fillId="0" borderId="0" xfId="0" applyNumberFormat="1" applyFont="1" applyFill="1" applyAlignment="1">
      <alignment/>
    </xf>
    <xf numFmtId="0" fontId="29" fillId="0" borderId="17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43" fontId="31" fillId="0" borderId="22" xfId="0" applyNumberFormat="1" applyFont="1" applyFill="1" applyBorder="1" applyAlignment="1">
      <alignment horizontal="right" wrapText="1"/>
    </xf>
    <xf numFmtId="9" fontId="31" fillId="0" borderId="22" xfId="63" applyFont="1" applyFill="1" applyBorder="1" applyAlignment="1">
      <alignment horizontal="right" wrapText="1"/>
    </xf>
    <xf numFmtId="43" fontId="36" fillId="0" borderId="0" xfId="0" applyNumberFormat="1" applyFont="1" applyFill="1" applyBorder="1" applyAlignment="1">
      <alignment horizontal="right" wrapText="1"/>
    </xf>
    <xf numFmtId="43" fontId="36" fillId="0" borderId="29" xfId="0" applyNumberFormat="1" applyFont="1" applyFill="1" applyBorder="1" applyAlignment="1">
      <alignment horizontal="right" vertical="center" wrapText="1"/>
    </xf>
    <xf numFmtId="0" fontId="29" fillId="0" borderId="29" xfId="0" applyFont="1" applyFill="1" applyBorder="1" applyAlignment="1">
      <alignment vertical="center"/>
    </xf>
    <xf numFmtId="43" fontId="29" fillId="0" borderId="19" xfId="0" applyNumberFormat="1" applyFont="1" applyFill="1" applyBorder="1" applyAlignment="1">
      <alignment horizontal="right" wrapText="1"/>
    </xf>
    <xf numFmtId="0" fontId="31" fillId="0" borderId="25" xfId="0" applyFont="1" applyFill="1" applyBorder="1" applyAlignment="1" quotePrefix="1">
      <alignment horizontal="center" vertical="center"/>
    </xf>
    <xf numFmtId="43" fontId="29" fillId="0" borderId="52" xfId="42" applyFont="1" applyFill="1" applyBorder="1" applyAlignment="1">
      <alignment/>
    </xf>
    <xf numFmtId="43" fontId="29" fillId="0" borderId="53" xfId="42" applyFont="1" applyFill="1" applyBorder="1" applyAlignment="1">
      <alignment/>
    </xf>
    <xf numFmtId="0" fontId="31" fillId="0" borderId="37" xfId="0" applyFont="1" applyFill="1" applyBorder="1" applyAlignment="1" quotePrefix="1">
      <alignment horizontal="left" vertical="top" wrapText="1"/>
    </xf>
    <xf numFmtId="43" fontId="29" fillId="0" borderId="54" xfId="42" applyFont="1" applyFill="1" applyBorder="1" applyAlignment="1">
      <alignment vertical="center"/>
    </xf>
    <xf numFmtId="43" fontId="29" fillId="0" borderId="55" xfId="42" applyFont="1" applyFill="1" applyBorder="1" applyAlignment="1">
      <alignment vertical="center"/>
    </xf>
    <xf numFmtId="0" fontId="31" fillId="0" borderId="39" xfId="0" applyFont="1" applyFill="1" applyBorder="1" applyAlignment="1" quotePrefix="1">
      <alignment horizontal="center" vertical="center" wrapText="1"/>
    </xf>
    <xf numFmtId="43" fontId="31" fillId="0" borderId="29" xfId="42" applyFont="1" applyFill="1" applyBorder="1" applyAlignment="1">
      <alignment horizontal="right" vertical="center"/>
    </xf>
    <xf numFmtId="0" fontId="31" fillId="0" borderId="26" xfId="0" applyFont="1" applyFill="1" applyBorder="1" applyAlignment="1" quotePrefix="1">
      <alignment horizontal="left" vertical="top" wrapText="1"/>
    </xf>
    <xf numFmtId="0" fontId="29" fillId="0" borderId="28" xfId="0" applyFont="1" applyFill="1" applyBorder="1" applyAlignment="1">
      <alignment horizontal="left" vertical="top" wrapText="1"/>
    </xf>
    <xf numFmtId="0" fontId="31" fillId="0" borderId="28" xfId="0" applyFont="1" applyFill="1" applyBorder="1" applyAlignment="1" quotePrefix="1">
      <alignment horizontal="left"/>
    </xf>
    <xf numFmtId="0" fontId="31" fillId="0" borderId="29" xfId="0" applyFont="1" applyFill="1" applyBorder="1" applyAlignment="1" quotePrefix="1">
      <alignment horizontal="center"/>
    </xf>
    <xf numFmtId="0" fontId="29" fillId="0" borderId="29" xfId="0" applyFont="1" applyFill="1" applyBorder="1" applyAlignment="1">
      <alignment horizontal="left" vertical="top" wrapText="1"/>
    </xf>
    <xf numFmtId="0" fontId="31" fillId="0" borderId="28" xfId="0" applyFont="1" applyFill="1" applyBorder="1" applyAlignment="1" quotePrefix="1">
      <alignment vertical="top" wrapText="1"/>
    </xf>
    <xf numFmtId="2" fontId="29" fillId="0" borderId="29" xfId="0" applyNumberFormat="1" applyFont="1" applyFill="1" applyBorder="1" applyAlignment="1">
      <alignment/>
    </xf>
    <xf numFmtId="4" fontId="29" fillId="0" borderId="0" xfId="0" applyNumberFormat="1" applyFont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4" fontId="29" fillId="0" borderId="0" xfId="77" applyNumberFormat="1" applyFont="1" applyFill="1" applyBorder="1" applyAlignment="1">
      <alignment horizontal="left" vertical="center"/>
      <protection/>
    </xf>
    <xf numFmtId="0" fontId="29" fillId="0" borderId="22" xfId="0" applyFont="1" applyFill="1" applyBorder="1" applyAlignment="1">
      <alignment horizontal="center"/>
    </xf>
    <xf numFmtId="0" fontId="29" fillId="0" borderId="22" xfId="0" applyFont="1" applyFill="1" applyBorder="1" applyAlignment="1" quotePrefix="1">
      <alignment/>
    </xf>
    <xf numFmtId="43" fontId="29" fillId="0" borderId="22" xfId="42" applyFont="1" applyFill="1" applyBorder="1" applyAlignment="1">
      <alignment/>
    </xf>
    <xf numFmtId="0" fontId="31" fillId="0" borderId="32" xfId="0" applyFont="1" applyFill="1" applyBorder="1" applyAlignment="1" quotePrefix="1">
      <alignment/>
    </xf>
    <xf numFmtId="43" fontId="29" fillId="0" borderId="32" xfId="42" applyFont="1" applyFill="1" applyBorder="1" applyAlignment="1">
      <alignment/>
    </xf>
    <xf numFmtId="0" fontId="29" fillId="0" borderId="32" xfId="0" applyFont="1" applyFill="1" applyBorder="1" applyAlignment="1" quotePrefix="1">
      <alignment wrapText="1"/>
    </xf>
    <xf numFmtId="43" fontId="29" fillId="0" borderId="32" xfId="42" applyFont="1" applyFill="1" applyBorder="1" applyAlignment="1">
      <alignment vertical="center"/>
    </xf>
    <xf numFmtId="0" fontId="29" fillId="0" borderId="32" xfId="0" applyFont="1" applyFill="1" applyBorder="1" applyAlignment="1">
      <alignment horizontal="center" vertical="center"/>
    </xf>
    <xf numFmtId="0" fontId="28" fillId="0" borderId="0" xfId="76" applyFont="1" applyFill="1" applyAlignment="1">
      <alignment horizontal="center" vertical="center"/>
      <protection/>
    </xf>
    <xf numFmtId="0" fontId="30" fillId="0" borderId="0" xfId="76" applyFont="1" applyFill="1" applyAlignment="1" applyProtection="1">
      <alignment horizontal="center" vertical="center"/>
      <protection locked="0"/>
    </xf>
    <xf numFmtId="0" fontId="30" fillId="0" borderId="0" xfId="76" applyFont="1" applyFill="1" applyAlignment="1">
      <alignment horizontal="center"/>
      <protection/>
    </xf>
    <xf numFmtId="0" fontId="30" fillId="0" borderId="0" xfId="76" applyFont="1" applyFill="1" applyAlignment="1">
      <alignment horizontal="center" vertical="center"/>
      <protection/>
    </xf>
    <xf numFmtId="3" fontId="31" fillId="0" borderId="56" xfId="0" applyNumberFormat="1" applyFont="1" applyBorder="1" applyAlignment="1" applyProtection="1">
      <alignment horizontal="center"/>
      <protection/>
    </xf>
    <xf numFmtId="3" fontId="31" fillId="0" borderId="57" xfId="0" applyNumberFormat="1" applyFont="1" applyBorder="1" applyAlignment="1" applyProtection="1">
      <alignment horizontal="center"/>
      <protection/>
    </xf>
    <xf numFmtId="3" fontId="31" fillId="0" borderId="58" xfId="0" applyNumberFormat="1" applyFont="1" applyBorder="1" applyAlignment="1" applyProtection="1">
      <alignment horizontal="center"/>
      <protection/>
    </xf>
    <xf numFmtId="0" fontId="31" fillId="0" borderId="39" xfId="0" applyFont="1" applyBorder="1" applyAlignment="1" applyProtection="1">
      <alignment horizontal="left"/>
      <protection/>
    </xf>
    <xf numFmtId="0" fontId="31" fillId="0" borderId="43" xfId="0" applyFont="1" applyBorder="1" applyAlignment="1" applyProtection="1">
      <alignment horizontal="left"/>
      <protection/>
    </xf>
    <xf numFmtId="0" fontId="31" fillId="0" borderId="44" xfId="0" applyFont="1" applyBorder="1" applyAlignment="1" applyProtection="1">
      <alignment horizontal="left"/>
      <protection/>
    </xf>
    <xf numFmtId="0" fontId="31" fillId="0" borderId="0" xfId="0" applyFont="1" applyAlignment="1" applyProtection="1">
      <alignment horizontal="center"/>
      <protection/>
    </xf>
    <xf numFmtId="0" fontId="29" fillId="0" borderId="0" xfId="0" applyFont="1" applyAlignment="1" applyProtection="1">
      <alignment horizontal="center"/>
      <protection/>
    </xf>
    <xf numFmtId="0" fontId="28" fillId="0" borderId="16" xfId="0" applyFont="1" applyFill="1" applyBorder="1" applyAlignment="1" applyProtection="1">
      <alignment horizontal="center"/>
      <protection/>
    </xf>
    <xf numFmtId="0" fontId="28" fillId="0" borderId="21" xfId="0" applyFont="1" applyFill="1" applyBorder="1" applyAlignment="1" applyProtection="1">
      <alignment horizontal="center"/>
      <protection/>
    </xf>
    <xf numFmtId="0" fontId="28" fillId="0" borderId="18" xfId="0" applyFont="1" applyFill="1" applyBorder="1" applyAlignment="1" applyProtection="1">
      <alignment horizontal="center"/>
      <protection/>
    </xf>
    <xf numFmtId="0" fontId="31" fillId="0" borderId="30" xfId="0" applyFont="1" applyBorder="1" applyAlignment="1" applyProtection="1">
      <alignment horizontal="left"/>
      <protection/>
    </xf>
    <xf numFmtId="0" fontId="29" fillId="0" borderId="31" xfId="0" applyFont="1" applyBorder="1" applyAlignment="1">
      <alignment/>
    </xf>
    <xf numFmtId="0" fontId="29" fillId="0" borderId="23" xfId="0" applyFont="1" applyBorder="1" applyAlignment="1">
      <alignment/>
    </xf>
    <xf numFmtId="0" fontId="29" fillId="0" borderId="57" xfId="0" applyFont="1" applyBorder="1" applyAlignment="1">
      <alignment/>
    </xf>
    <xf numFmtId="0" fontId="29" fillId="0" borderId="58" xfId="0" applyFont="1" applyBorder="1" applyAlignment="1">
      <alignment/>
    </xf>
    <xf numFmtId="0" fontId="31" fillId="0" borderId="31" xfId="0" applyFont="1" applyBorder="1" applyAlignment="1" applyProtection="1">
      <alignment horizontal="left"/>
      <protection/>
    </xf>
    <xf numFmtId="0" fontId="31" fillId="0" borderId="23" xfId="0" applyFont="1" applyBorder="1" applyAlignment="1" applyProtection="1">
      <alignment horizontal="left"/>
      <protection/>
    </xf>
    <xf numFmtId="3" fontId="31" fillId="0" borderId="59" xfId="0" applyNumberFormat="1" applyFont="1" applyBorder="1" applyAlignment="1" applyProtection="1">
      <alignment horizontal="center"/>
      <protection/>
    </xf>
    <xf numFmtId="3" fontId="31" fillId="0" borderId="50" xfId="0" applyNumberFormat="1" applyFont="1" applyBorder="1" applyAlignment="1" applyProtection="1">
      <alignment horizontal="center"/>
      <protection/>
    </xf>
    <xf numFmtId="3" fontId="31" fillId="0" borderId="51" xfId="0" applyNumberFormat="1" applyFont="1" applyBorder="1" applyAlignment="1" applyProtection="1">
      <alignment horizontal="center"/>
      <protection/>
    </xf>
    <xf numFmtId="0" fontId="28" fillId="0" borderId="0" xfId="0" applyFont="1" applyAlignment="1" applyProtection="1">
      <alignment horizontal="center"/>
      <protection/>
    </xf>
    <xf numFmtId="0" fontId="30" fillId="0" borderId="0" xfId="0" applyFont="1" applyBorder="1" applyAlignment="1" applyProtection="1">
      <alignment horizontal="center"/>
      <protection/>
    </xf>
    <xf numFmtId="0" fontId="31" fillId="0" borderId="11" xfId="0" applyFont="1" applyFill="1" applyBorder="1" applyAlignment="1" applyProtection="1">
      <alignment horizontal="center"/>
      <protection/>
    </xf>
    <xf numFmtId="0" fontId="31" fillId="0" borderId="19" xfId="0" applyFont="1" applyFill="1" applyBorder="1" applyAlignment="1" applyProtection="1">
      <alignment horizontal="center"/>
      <protection/>
    </xf>
    <xf numFmtId="0" fontId="31" fillId="0" borderId="12" xfId="0" applyFont="1" applyFill="1" applyBorder="1" applyAlignment="1" applyProtection="1">
      <alignment horizontal="center"/>
      <protection/>
    </xf>
    <xf numFmtId="0" fontId="31" fillId="0" borderId="13" xfId="0" applyFont="1" applyFill="1" applyBorder="1" applyAlignment="1" applyProtection="1">
      <alignment horizontal="center"/>
      <protection/>
    </xf>
    <xf numFmtId="3" fontId="29" fillId="0" borderId="25" xfId="0" applyNumberFormat="1" applyFont="1" applyBorder="1" applyAlignment="1" applyProtection="1">
      <alignment horizontal="center"/>
      <protection/>
    </xf>
    <xf numFmtId="3" fontId="29" fillId="0" borderId="42" xfId="0" applyNumberFormat="1" applyFont="1" applyBorder="1" applyAlignment="1" applyProtection="1">
      <alignment horizontal="center"/>
      <protection/>
    </xf>
    <xf numFmtId="3" fontId="29" fillId="0" borderId="33" xfId="0" applyNumberFormat="1" applyFont="1" applyBorder="1" applyAlignment="1" applyProtection="1">
      <alignment horizontal="center"/>
      <protection/>
    </xf>
    <xf numFmtId="3" fontId="31" fillId="0" borderId="59" xfId="0" applyNumberFormat="1" applyFont="1" applyFill="1" applyBorder="1" applyAlignment="1" applyProtection="1">
      <alignment horizontal="center"/>
      <protection/>
    </xf>
    <xf numFmtId="3" fontId="31" fillId="0" borderId="50" xfId="0" applyNumberFormat="1" applyFont="1" applyFill="1" applyBorder="1" applyAlignment="1" applyProtection="1">
      <alignment horizontal="center"/>
      <protection/>
    </xf>
    <xf numFmtId="3" fontId="31" fillId="0" borderId="51" xfId="0" applyNumberFormat="1" applyFont="1" applyFill="1" applyBorder="1" applyAlignment="1" applyProtection="1">
      <alignment horizontal="center"/>
      <protection/>
    </xf>
    <xf numFmtId="0" fontId="29" fillId="0" borderId="25" xfId="0" applyFont="1" applyBorder="1" applyAlignment="1" applyProtection="1">
      <alignment horizontal="left"/>
      <protection/>
    </xf>
    <xf numFmtId="0" fontId="29" fillId="0" borderId="42" xfId="0" applyFont="1" applyBorder="1" applyAlignment="1" applyProtection="1">
      <alignment horizontal="left"/>
      <protection/>
    </xf>
    <xf numFmtId="0" fontId="29" fillId="0" borderId="33" xfId="0" applyFont="1" applyBorder="1" applyAlignment="1" applyProtection="1">
      <alignment horizontal="left"/>
      <protection/>
    </xf>
    <xf numFmtId="0" fontId="29" fillId="0" borderId="25" xfId="0" applyFont="1" applyBorder="1" applyAlignment="1">
      <alignment horizontal="left" wrapText="1"/>
    </xf>
    <xf numFmtId="0" fontId="29" fillId="0" borderId="42" xfId="0" applyFont="1" applyBorder="1" applyAlignment="1">
      <alignment horizontal="left" wrapText="1"/>
    </xf>
    <xf numFmtId="0" fontId="29" fillId="0" borderId="33" xfId="0" applyFont="1" applyBorder="1" applyAlignment="1">
      <alignment horizontal="left" wrapText="1"/>
    </xf>
    <xf numFmtId="3" fontId="29" fillId="0" borderId="25" xfId="0" applyNumberFormat="1" applyFont="1" applyBorder="1" applyAlignment="1">
      <alignment horizontal="center" vertical="top"/>
    </xf>
    <xf numFmtId="3" fontId="29" fillId="0" borderId="42" xfId="0" applyNumberFormat="1" applyFont="1" applyBorder="1" applyAlignment="1">
      <alignment horizontal="center" vertical="top"/>
    </xf>
    <xf numFmtId="3" fontId="29" fillId="0" borderId="33" xfId="0" applyNumberFormat="1" applyFont="1" applyBorder="1" applyAlignment="1">
      <alignment horizontal="center" vertical="top"/>
    </xf>
    <xf numFmtId="43" fontId="29" fillId="0" borderId="48" xfId="0" applyNumberFormat="1" applyFont="1" applyBorder="1" applyAlignment="1">
      <alignment horizontal="left" wrapText="1"/>
    </xf>
    <xf numFmtId="0" fontId="29" fillId="0" borderId="24" xfId="0" applyFont="1" applyBorder="1" applyAlignment="1">
      <alignment horizontal="left" wrapText="1"/>
    </xf>
    <xf numFmtId="0" fontId="29" fillId="0" borderId="60" xfId="0" applyFont="1" applyBorder="1" applyAlignment="1">
      <alignment horizontal="left" wrapText="1"/>
    </xf>
    <xf numFmtId="3" fontId="29" fillId="0" borderId="48" xfId="0" applyNumberFormat="1" applyFont="1" applyBorder="1" applyAlignment="1">
      <alignment horizontal="center" vertical="top"/>
    </xf>
    <xf numFmtId="3" fontId="29" fillId="0" borderId="24" xfId="0" applyNumberFormat="1" applyFont="1" applyBorder="1" applyAlignment="1">
      <alignment horizontal="center" vertical="top"/>
    </xf>
    <xf numFmtId="3" fontId="29" fillId="0" borderId="60" xfId="0" applyNumberFormat="1" applyFont="1" applyBorder="1" applyAlignment="1">
      <alignment horizontal="center" vertical="top"/>
    </xf>
    <xf numFmtId="0" fontId="31" fillId="0" borderId="11" xfId="0" applyFont="1" applyBorder="1" applyAlignment="1" applyProtection="1">
      <alignment horizontal="left"/>
      <protection/>
    </xf>
    <xf numFmtId="0" fontId="31" fillId="0" borderId="19" xfId="0" applyFont="1" applyBorder="1" applyAlignment="1" applyProtection="1">
      <alignment horizontal="left"/>
      <protection/>
    </xf>
    <xf numFmtId="0" fontId="31" fillId="0" borderId="12" xfId="0" applyFont="1" applyBorder="1" applyAlignment="1" applyProtection="1">
      <alignment horizontal="left"/>
      <protection/>
    </xf>
    <xf numFmtId="3" fontId="29" fillId="0" borderId="14" xfId="0" applyNumberFormat="1" applyFont="1" applyBorder="1" applyAlignment="1" applyProtection="1">
      <alignment horizontal="center"/>
      <protection/>
    </xf>
    <xf numFmtId="3" fontId="29" fillId="0" borderId="0" xfId="0" applyNumberFormat="1" applyFont="1" applyBorder="1" applyAlignment="1" applyProtection="1">
      <alignment horizontal="center"/>
      <protection/>
    </xf>
    <xf numFmtId="3" fontId="29" fillId="0" borderId="20" xfId="0" applyNumberFormat="1" applyFont="1" applyBorder="1" applyAlignment="1" applyProtection="1">
      <alignment horizontal="center"/>
      <protection/>
    </xf>
    <xf numFmtId="0" fontId="31" fillId="0" borderId="37" xfId="0" applyFont="1" applyFill="1" applyBorder="1" applyAlignment="1" applyProtection="1">
      <alignment horizontal="left"/>
      <protection/>
    </xf>
    <xf numFmtId="0" fontId="31" fillId="0" borderId="45" xfId="0" applyFont="1" applyFill="1" applyBorder="1" applyAlignment="1" applyProtection="1">
      <alignment horizontal="left"/>
      <protection/>
    </xf>
    <xf numFmtId="0" fontId="31" fillId="0" borderId="41" xfId="0" applyFont="1" applyFill="1" applyBorder="1" applyAlignment="1" applyProtection="1">
      <alignment horizontal="left"/>
      <protection/>
    </xf>
    <xf numFmtId="0" fontId="31" fillId="0" borderId="37" xfId="0" applyFont="1" applyFill="1" applyBorder="1" applyAlignment="1" applyProtection="1">
      <alignment horizontal="center"/>
      <protection/>
    </xf>
    <xf numFmtId="0" fontId="31" fillId="0" borderId="45" xfId="0" applyFont="1" applyFill="1" applyBorder="1" applyAlignment="1" applyProtection="1">
      <alignment horizontal="center"/>
      <protection/>
    </xf>
    <xf numFmtId="0" fontId="31" fillId="0" borderId="41" xfId="0" applyFont="1" applyFill="1" applyBorder="1" applyAlignment="1" applyProtection="1">
      <alignment horizontal="center"/>
      <protection/>
    </xf>
    <xf numFmtId="194" fontId="31" fillId="0" borderId="30" xfId="0" applyNumberFormat="1" applyFont="1" applyFill="1" applyBorder="1" applyAlignment="1" applyProtection="1">
      <alignment horizontal="center"/>
      <protection hidden="1"/>
    </xf>
    <xf numFmtId="194" fontId="31" fillId="0" borderId="23" xfId="0" applyNumberFormat="1" applyFont="1" applyFill="1" applyBorder="1" applyAlignment="1" applyProtection="1">
      <alignment horizontal="center"/>
      <protection hidden="1"/>
    </xf>
    <xf numFmtId="0" fontId="31" fillId="0" borderId="30" xfId="0" applyFont="1" applyFill="1" applyBorder="1" applyAlignment="1" applyProtection="1">
      <alignment horizontal="center"/>
      <protection hidden="1"/>
    </xf>
    <xf numFmtId="0" fontId="31" fillId="0" borderId="23" xfId="0" applyFont="1" applyFill="1" applyBorder="1" applyAlignment="1" applyProtection="1">
      <alignment horizontal="center"/>
      <protection hidden="1"/>
    </xf>
    <xf numFmtId="0" fontId="29" fillId="0" borderId="30" xfId="0" applyFont="1" applyBorder="1" applyAlignment="1" applyProtection="1">
      <alignment horizontal="left"/>
      <protection hidden="1"/>
    </xf>
    <xf numFmtId="0" fontId="29" fillId="0" borderId="31" xfId="0" applyFont="1" applyBorder="1" applyAlignment="1" applyProtection="1">
      <alignment horizontal="left"/>
      <protection hidden="1"/>
    </xf>
    <xf numFmtId="0" fontId="29" fillId="0" borderId="23" xfId="0" applyFont="1" applyBorder="1" applyAlignment="1" applyProtection="1">
      <alignment horizontal="left"/>
      <protection hidden="1"/>
    </xf>
    <xf numFmtId="0" fontId="31" fillId="0" borderId="30" xfId="0" applyFont="1" applyFill="1" applyBorder="1" applyAlignment="1" applyProtection="1">
      <alignment horizontal="left"/>
      <protection hidden="1"/>
    </xf>
    <xf numFmtId="0" fontId="31" fillId="0" borderId="31" xfId="0" applyFont="1" applyFill="1" applyBorder="1" applyAlignment="1" applyProtection="1">
      <alignment horizontal="left"/>
      <protection hidden="1"/>
    </xf>
    <xf numFmtId="0" fontId="31" fillId="0" borderId="23" xfId="0" applyFont="1" applyFill="1" applyBorder="1" applyAlignment="1" applyProtection="1">
      <alignment horizontal="left"/>
      <protection hidden="1"/>
    </xf>
    <xf numFmtId="0" fontId="28" fillId="0" borderId="0" xfId="0" applyFont="1" applyAlignment="1" applyProtection="1">
      <alignment horizontal="center"/>
      <protection hidden="1"/>
    </xf>
    <xf numFmtId="0" fontId="30" fillId="0" borderId="0" xfId="0" applyFont="1" applyBorder="1" applyAlignment="1" applyProtection="1">
      <alignment horizontal="center"/>
      <protection hidden="1"/>
    </xf>
    <xf numFmtId="0" fontId="31" fillId="0" borderId="13" xfId="0" applyFont="1" applyFill="1" applyBorder="1" applyAlignment="1" applyProtection="1">
      <alignment horizontal="center" vertical="center"/>
      <protection hidden="1"/>
    </xf>
    <xf numFmtId="0" fontId="31" fillId="0" borderId="17" xfId="0" applyFont="1" applyFill="1" applyBorder="1" applyAlignment="1" applyProtection="1">
      <alignment horizontal="center" vertical="center"/>
      <protection hidden="1"/>
    </xf>
    <xf numFmtId="0" fontId="31" fillId="0" borderId="11" xfId="0" applyFont="1" applyFill="1" applyBorder="1" applyAlignment="1" applyProtection="1">
      <alignment horizontal="center" vertical="center"/>
      <protection hidden="1"/>
    </xf>
    <xf numFmtId="0" fontId="31" fillId="0" borderId="19" xfId="0" applyFont="1" applyFill="1" applyBorder="1" applyAlignment="1" applyProtection="1">
      <alignment horizontal="center" vertical="center"/>
      <protection hidden="1"/>
    </xf>
    <xf numFmtId="0" fontId="31" fillId="0" borderId="12" xfId="0" applyFont="1" applyFill="1" applyBorder="1" applyAlignment="1" applyProtection="1">
      <alignment horizontal="center" vertical="center"/>
      <protection hidden="1"/>
    </xf>
    <xf numFmtId="0" fontId="31" fillId="0" borderId="16" xfId="0" applyFont="1" applyFill="1" applyBorder="1" applyAlignment="1" applyProtection="1">
      <alignment horizontal="center" vertical="center"/>
      <protection hidden="1"/>
    </xf>
    <xf numFmtId="0" fontId="31" fillId="0" borderId="21" xfId="0" applyFont="1" applyFill="1" applyBorder="1" applyAlignment="1" applyProtection="1">
      <alignment horizontal="center" vertical="center"/>
      <protection hidden="1"/>
    </xf>
    <xf numFmtId="0" fontId="31" fillId="0" borderId="18" xfId="0" applyFont="1" applyFill="1" applyBorder="1" applyAlignment="1" applyProtection="1">
      <alignment horizontal="center" vertical="center"/>
      <protection hidden="1"/>
    </xf>
    <xf numFmtId="43" fontId="31" fillId="0" borderId="13" xfId="42" applyFont="1" applyFill="1" applyBorder="1" applyAlignment="1">
      <alignment horizontal="center" vertical="center"/>
    </xf>
    <xf numFmtId="43" fontId="31" fillId="0" borderId="18" xfId="42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43" fontId="31" fillId="0" borderId="17" xfId="42" applyFont="1" applyFill="1" applyBorder="1" applyAlignment="1">
      <alignment horizontal="center" vertical="center"/>
    </xf>
    <xf numFmtId="43" fontId="31" fillId="0" borderId="31" xfId="42" applyFont="1" applyFill="1" applyBorder="1" applyAlignment="1">
      <alignment horizontal="center"/>
    </xf>
    <xf numFmtId="43" fontId="31" fillId="0" borderId="23" xfId="42" applyFont="1" applyFill="1" applyBorder="1" applyAlignment="1">
      <alignment horizontal="center"/>
    </xf>
    <xf numFmtId="43" fontId="31" fillId="0" borderId="30" xfId="42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/>
    </xf>
    <xf numFmtId="0" fontId="31" fillId="0" borderId="19" xfId="0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0" fontId="31" fillId="0" borderId="14" xfId="0" applyFont="1" applyFill="1" applyBorder="1" applyAlignment="1">
      <alignment horizontal="center"/>
    </xf>
    <xf numFmtId="0" fontId="31" fillId="0" borderId="20" xfId="0" applyFont="1" applyFill="1" applyBorder="1" applyAlignment="1">
      <alignment horizontal="center"/>
    </xf>
    <xf numFmtId="0" fontId="31" fillId="0" borderId="16" xfId="0" applyFont="1" applyFill="1" applyBorder="1" applyAlignment="1">
      <alignment horizontal="center"/>
    </xf>
    <xf numFmtId="0" fontId="31" fillId="0" borderId="21" xfId="0" applyFont="1" applyFill="1" applyBorder="1" applyAlignment="1">
      <alignment horizontal="center"/>
    </xf>
    <xf numFmtId="0" fontId="31" fillId="0" borderId="18" xfId="0" applyFont="1" applyFill="1" applyBorder="1" applyAlignment="1">
      <alignment horizontal="center"/>
    </xf>
    <xf numFmtId="43" fontId="31" fillId="0" borderId="21" xfId="42" applyFont="1" applyFill="1" applyBorder="1" applyAlignment="1">
      <alignment horizontal="center"/>
    </xf>
    <xf numFmtId="43" fontId="31" fillId="0" borderId="18" xfId="42" applyFont="1" applyFill="1" applyBorder="1" applyAlignment="1">
      <alignment horizontal="center"/>
    </xf>
    <xf numFmtId="43" fontId="31" fillId="0" borderId="16" xfId="42" applyFont="1" applyFill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31" fillId="0" borderId="15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43" fontId="31" fillId="0" borderId="15" xfId="42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/>
    </xf>
    <xf numFmtId="0" fontId="53" fillId="0" borderId="11" xfId="0" applyFont="1" applyFill="1" applyBorder="1" applyAlignment="1">
      <alignment horizontal="center"/>
    </xf>
    <xf numFmtId="0" fontId="53" fillId="0" borderId="19" xfId="0" applyFont="1" applyFill="1" applyBorder="1" applyAlignment="1">
      <alignment horizontal="center"/>
    </xf>
    <xf numFmtId="0" fontId="53" fillId="0" borderId="12" xfId="0" applyFont="1" applyFill="1" applyBorder="1" applyAlignment="1">
      <alignment horizontal="center"/>
    </xf>
    <xf numFmtId="0" fontId="53" fillId="0" borderId="14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3" fillId="0" borderId="20" xfId="0" applyFont="1" applyFill="1" applyBorder="1" applyAlignment="1">
      <alignment horizontal="center"/>
    </xf>
    <xf numFmtId="0" fontId="53" fillId="0" borderId="16" xfId="0" applyFont="1" applyFill="1" applyBorder="1" applyAlignment="1">
      <alignment horizontal="center"/>
    </xf>
    <xf numFmtId="0" fontId="53" fillId="0" borderId="21" xfId="0" applyFont="1" applyFill="1" applyBorder="1" applyAlignment="1">
      <alignment horizontal="center"/>
    </xf>
    <xf numFmtId="0" fontId="53" fillId="0" borderId="18" xfId="0" applyFont="1" applyFill="1" applyBorder="1" applyAlignment="1">
      <alignment horizontal="center"/>
    </xf>
    <xf numFmtId="0" fontId="3" fillId="0" borderId="0" xfId="73" applyFont="1" applyAlignment="1">
      <alignment horizontal="center"/>
      <protection/>
    </xf>
    <xf numFmtId="49" fontId="2" fillId="0" borderId="0" xfId="73" applyNumberFormat="1" applyFont="1" applyAlignment="1">
      <alignment horizontal="center" vertical="top"/>
      <protection/>
    </xf>
    <xf numFmtId="199" fontId="2" fillId="0" borderId="14" xfId="73" applyNumberFormat="1" applyFont="1" applyBorder="1" applyAlignment="1">
      <alignment horizontal="center" vertical="top"/>
      <protection/>
    </xf>
    <xf numFmtId="199" fontId="2" fillId="0" borderId="20" xfId="73" applyNumberFormat="1" applyFont="1" applyBorder="1" applyAlignment="1">
      <alignment horizontal="center" vertical="top"/>
      <protection/>
    </xf>
    <xf numFmtId="199" fontId="2" fillId="0" borderId="16" xfId="73" applyNumberFormat="1" applyFont="1" applyBorder="1" applyAlignment="1">
      <alignment horizontal="center" vertical="top"/>
      <protection/>
    </xf>
    <xf numFmtId="199" fontId="2" fillId="0" borderId="18" xfId="73" applyNumberFormat="1" applyFont="1" applyBorder="1" applyAlignment="1">
      <alignment horizontal="center" vertical="top"/>
      <protection/>
    </xf>
    <xf numFmtId="199" fontId="2" fillId="0" borderId="11" xfId="73" applyNumberFormat="1" applyFont="1" applyBorder="1" applyAlignment="1">
      <alignment horizontal="center" vertical="top"/>
      <protection/>
    </xf>
    <xf numFmtId="199" fontId="2" fillId="0" borderId="12" xfId="73" applyNumberFormat="1" applyFont="1" applyBorder="1" applyAlignment="1">
      <alignment horizontal="center" vertical="top"/>
      <protection/>
    </xf>
    <xf numFmtId="0" fontId="7" fillId="0" borderId="0" xfId="73" applyFont="1" applyAlignment="1">
      <alignment horizontal="center" vertical="top"/>
      <protection/>
    </xf>
    <xf numFmtId="0" fontId="2" fillId="20" borderId="11" xfId="73" applyFont="1" applyFill="1" applyBorder="1" applyAlignment="1">
      <alignment horizontal="center" vertical="top"/>
      <protection/>
    </xf>
    <xf numFmtId="0" fontId="2" fillId="20" borderId="12" xfId="73" applyFont="1" applyFill="1" applyBorder="1" applyAlignment="1">
      <alignment horizontal="center" vertical="top"/>
      <protection/>
    </xf>
    <xf numFmtId="0" fontId="2" fillId="20" borderId="19" xfId="73" applyFont="1" applyFill="1" applyBorder="1" applyAlignment="1">
      <alignment horizontal="center" vertical="top"/>
      <protection/>
    </xf>
    <xf numFmtId="0" fontId="2" fillId="20" borderId="11" xfId="73" applyFont="1" applyFill="1" applyBorder="1" applyAlignment="1">
      <alignment horizontal="center" vertical="center"/>
      <protection/>
    </xf>
    <xf numFmtId="0" fontId="2" fillId="20" borderId="12" xfId="73" applyFont="1" applyFill="1" applyBorder="1" applyAlignment="1">
      <alignment horizontal="center" vertical="center"/>
      <protection/>
    </xf>
    <xf numFmtId="0" fontId="2" fillId="20" borderId="14" xfId="73" applyFont="1" applyFill="1" applyBorder="1" applyAlignment="1">
      <alignment horizontal="center" vertical="center"/>
      <protection/>
    </xf>
    <xf numFmtId="0" fontId="2" fillId="20" borderId="20" xfId="73" applyFont="1" applyFill="1" applyBorder="1" applyAlignment="1">
      <alignment horizontal="center" vertical="center"/>
      <protection/>
    </xf>
    <xf numFmtId="0" fontId="2" fillId="20" borderId="16" xfId="73" applyFont="1" applyFill="1" applyBorder="1" applyAlignment="1">
      <alignment horizontal="center" vertical="center"/>
      <protection/>
    </xf>
    <xf numFmtId="0" fontId="2" fillId="20" borderId="18" xfId="73" applyFont="1" applyFill="1" applyBorder="1" applyAlignment="1">
      <alignment horizontal="center" vertical="center"/>
      <protection/>
    </xf>
    <xf numFmtId="0" fontId="2" fillId="20" borderId="14" xfId="73" applyFont="1" applyFill="1" applyBorder="1" applyAlignment="1">
      <alignment horizontal="center" vertical="top"/>
      <protection/>
    </xf>
    <xf numFmtId="0" fontId="2" fillId="20" borderId="20" xfId="73" applyFont="1" applyFill="1" applyBorder="1" applyAlignment="1">
      <alignment horizontal="center" vertical="top"/>
      <protection/>
    </xf>
    <xf numFmtId="0" fontId="2" fillId="20" borderId="14" xfId="73" applyFont="1" applyFill="1" applyBorder="1" applyAlignment="1">
      <alignment horizontal="center"/>
      <protection/>
    </xf>
    <xf numFmtId="0" fontId="2" fillId="20" borderId="21" xfId="73" applyFont="1" applyFill="1" applyBorder="1" applyAlignment="1">
      <alignment horizontal="center"/>
      <protection/>
    </xf>
    <xf numFmtId="0" fontId="2" fillId="20" borderId="18" xfId="73" applyFont="1" applyFill="1" applyBorder="1" applyAlignment="1">
      <alignment horizontal="center"/>
      <protection/>
    </xf>
    <xf numFmtId="0" fontId="2" fillId="20" borderId="0" xfId="73" applyFont="1" applyFill="1" applyAlignment="1">
      <alignment horizontal="center" vertical="top"/>
      <protection/>
    </xf>
    <xf numFmtId="0" fontId="2" fillId="20" borderId="16" xfId="73" applyFont="1" applyFill="1" applyBorder="1" applyAlignment="1">
      <alignment horizontal="center" vertical="top"/>
      <protection/>
    </xf>
    <xf numFmtId="0" fontId="2" fillId="20" borderId="21" xfId="73" applyFont="1" applyFill="1" applyBorder="1" applyAlignment="1">
      <alignment horizontal="center" vertical="top"/>
      <protection/>
    </xf>
    <xf numFmtId="0" fontId="0" fillId="20" borderId="18" xfId="73" applyFill="1" applyBorder="1">
      <alignment/>
      <protection/>
    </xf>
    <xf numFmtId="199" fontId="2" fillId="0" borderId="22" xfId="73" applyNumberFormat="1" applyFont="1" applyBorder="1" applyAlignment="1">
      <alignment horizontal="center" vertical="top"/>
      <protection/>
    </xf>
    <xf numFmtId="199" fontId="2" fillId="0" borderId="30" xfId="73" applyNumberFormat="1" applyFont="1" applyBorder="1" applyAlignment="1">
      <alignment horizontal="center" vertical="top"/>
      <protection/>
    </xf>
    <xf numFmtId="199" fontId="2" fillId="0" borderId="23" xfId="73" applyNumberFormat="1" applyFont="1" applyBorder="1" applyAlignment="1">
      <alignment horizontal="center" vertical="top"/>
      <protection/>
    </xf>
    <xf numFmtId="199" fontId="3" fillId="0" borderId="30" xfId="73" applyNumberFormat="1" applyFont="1" applyBorder="1" applyAlignment="1">
      <alignment horizontal="center" vertical="center"/>
      <protection/>
    </xf>
    <xf numFmtId="199" fontId="3" fillId="0" borderId="23" xfId="73" applyNumberFormat="1" applyFont="1" applyBorder="1" applyAlignment="1">
      <alignment horizontal="center" vertical="center"/>
      <protection/>
    </xf>
    <xf numFmtId="199" fontId="8" fillId="0" borderId="0" xfId="73" applyNumberFormat="1" applyFont="1" applyAlignment="1">
      <alignment horizontal="center" vertical="top"/>
      <protection/>
    </xf>
    <xf numFmtId="0" fontId="0" fillId="20" borderId="20" xfId="73" applyFill="1" applyBorder="1">
      <alignment/>
      <protection/>
    </xf>
    <xf numFmtId="43" fontId="2" fillId="0" borderId="0" xfId="42" applyFont="1" applyFill="1" applyAlignment="1">
      <alignment horizontal="center"/>
    </xf>
    <xf numFmtId="0" fontId="1" fillId="0" borderId="0" xfId="73" applyFont="1" applyAlignment="1">
      <alignment horizontal="center" vertical="top"/>
      <protection/>
    </xf>
    <xf numFmtId="0" fontId="3" fillId="0" borderId="11" xfId="73" applyFont="1" applyBorder="1" applyAlignment="1">
      <alignment horizontal="left" vertical="top"/>
      <protection/>
    </xf>
    <xf numFmtId="0" fontId="3" fillId="0" borderId="19" xfId="73" applyFont="1" applyBorder="1" applyAlignment="1">
      <alignment horizontal="left" vertical="top"/>
      <protection/>
    </xf>
    <xf numFmtId="0" fontId="0" fillId="20" borderId="12" xfId="73" applyFill="1" applyBorder="1">
      <alignment/>
      <protection/>
    </xf>
    <xf numFmtId="0" fontId="2" fillId="20" borderId="18" xfId="73" applyFont="1" applyFill="1" applyBorder="1" applyAlignment="1">
      <alignment horizontal="center" vertical="top"/>
      <protection/>
    </xf>
    <xf numFmtId="0" fontId="36" fillId="0" borderId="39" xfId="0" applyFont="1" applyFill="1" applyBorder="1" applyAlignment="1" quotePrefix="1">
      <alignment horizontal="left" wrapText="1"/>
    </xf>
    <xf numFmtId="0" fontId="36" fillId="0" borderId="43" xfId="0" applyFont="1" applyFill="1" applyBorder="1" applyAlignment="1" quotePrefix="1">
      <alignment horizontal="left" wrapText="1"/>
    </xf>
    <xf numFmtId="0" fontId="36" fillId="0" borderId="44" xfId="0" applyFont="1" applyFill="1" applyBorder="1" applyAlignment="1" quotePrefix="1">
      <alignment horizontal="left" wrapText="1"/>
    </xf>
    <xf numFmtId="0" fontId="31" fillId="0" borderId="31" xfId="0" applyFont="1" applyFill="1" applyBorder="1" applyAlignment="1">
      <alignment horizontal="center"/>
    </xf>
    <xf numFmtId="0" fontId="31" fillId="0" borderId="23" xfId="0" applyFont="1" applyFill="1" applyBorder="1" applyAlignment="1">
      <alignment horizontal="center"/>
    </xf>
    <xf numFmtId="0" fontId="29" fillId="0" borderId="25" xfId="0" applyFont="1" applyFill="1" applyBorder="1" applyAlignment="1" quotePrefix="1">
      <alignment horizontal="left" wrapText="1"/>
    </xf>
    <xf numFmtId="0" fontId="29" fillId="0" borderId="42" xfId="0" applyFont="1" applyFill="1" applyBorder="1" applyAlignment="1" quotePrefix="1">
      <alignment horizontal="left" wrapText="1"/>
    </xf>
    <xf numFmtId="0" fontId="29" fillId="0" borderId="33" xfId="0" applyFont="1" applyFill="1" applyBorder="1" applyAlignment="1" quotePrefix="1">
      <alignment horizontal="left" wrapText="1"/>
    </xf>
    <xf numFmtId="0" fontId="36" fillId="0" borderId="25" xfId="0" applyFont="1" applyFill="1" applyBorder="1" applyAlignment="1" quotePrefix="1">
      <alignment horizontal="left" wrapText="1"/>
    </xf>
    <xf numFmtId="0" fontId="36" fillId="0" borderId="42" xfId="0" applyFont="1" applyFill="1" applyBorder="1" applyAlignment="1" quotePrefix="1">
      <alignment horizontal="left" wrapText="1"/>
    </xf>
    <xf numFmtId="0" fontId="36" fillId="0" borderId="33" xfId="0" applyFont="1" applyFill="1" applyBorder="1" applyAlignment="1" quotePrefix="1">
      <alignment horizontal="left" wrapText="1"/>
    </xf>
    <xf numFmtId="0" fontId="29" fillId="0" borderId="39" xfId="0" applyFont="1" applyFill="1" applyBorder="1" applyAlignment="1" quotePrefix="1">
      <alignment horizontal="left" wrapText="1"/>
    </xf>
    <xf numFmtId="0" fontId="29" fillId="0" borderId="43" xfId="0" applyFont="1" applyFill="1" applyBorder="1" applyAlignment="1" quotePrefix="1">
      <alignment horizontal="left" wrapText="1"/>
    </xf>
    <xf numFmtId="0" fontId="29" fillId="0" borderId="44" xfId="0" applyFont="1" applyFill="1" applyBorder="1" applyAlignment="1" quotePrefix="1">
      <alignment horizontal="left" wrapText="1"/>
    </xf>
    <xf numFmtId="0" fontId="36" fillId="0" borderId="25" xfId="0" applyFont="1" applyFill="1" applyBorder="1" applyAlignment="1" quotePrefix="1">
      <alignment horizontal="left"/>
    </xf>
    <xf numFmtId="0" fontId="36" fillId="0" borderId="42" xfId="0" applyFont="1" applyFill="1" applyBorder="1" applyAlignment="1" quotePrefix="1">
      <alignment horizontal="left"/>
    </xf>
    <xf numFmtId="0" fontId="36" fillId="0" borderId="33" xfId="0" applyFont="1" applyFill="1" applyBorder="1" applyAlignment="1" quotePrefix="1">
      <alignment horizontal="left"/>
    </xf>
    <xf numFmtId="0" fontId="37" fillId="0" borderId="25" xfId="0" applyFont="1" applyFill="1" applyBorder="1" applyAlignment="1" quotePrefix="1">
      <alignment horizontal="left"/>
    </xf>
    <xf numFmtId="0" fontId="37" fillId="0" borderId="42" xfId="0" applyFont="1" applyFill="1" applyBorder="1" applyAlignment="1" quotePrefix="1">
      <alignment horizontal="left"/>
    </xf>
    <xf numFmtId="0" fontId="37" fillId="0" borderId="33" xfId="0" applyFont="1" applyFill="1" applyBorder="1" applyAlignment="1" quotePrefix="1">
      <alignment horizontal="left"/>
    </xf>
    <xf numFmtId="0" fontId="37" fillId="0" borderId="25" xfId="0" applyFont="1" applyFill="1" applyBorder="1" applyAlignment="1" quotePrefix="1">
      <alignment horizontal="left" wrapText="1"/>
    </xf>
    <xf numFmtId="0" fontId="37" fillId="0" borderId="42" xfId="0" applyFont="1" applyFill="1" applyBorder="1" applyAlignment="1" quotePrefix="1">
      <alignment horizontal="left" wrapText="1"/>
    </xf>
    <xf numFmtId="0" fontId="37" fillId="0" borderId="33" xfId="0" applyFont="1" applyFill="1" applyBorder="1" applyAlignment="1" quotePrefix="1">
      <alignment horizontal="left" wrapText="1"/>
    </xf>
    <xf numFmtId="0" fontId="29" fillId="0" borderId="25" xfId="0" applyFont="1" applyFill="1" applyBorder="1" applyAlignment="1" quotePrefix="1">
      <alignment horizontal="left"/>
    </xf>
    <xf numFmtId="0" fontId="29" fillId="0" borderId="42" xfId="0" applyFont="1" applyFill="1" applyBorder="1" applyAlignment="1" quotePrefix="1">
      <alignment horizontal="left"/>
    </xf>
    <xf numFmtId="0" fontId="29" fillId="0" borderId="33" xfId="0" applyFont="1" applyFill="1" applyBorder="1" applyAlignment="1" quotePrefix="1">
      <alignment horizontal="left"/>
    </xf>
    <xf numFmtId="0" fontId="37" fillId="0" borderId="37" xfId="77" applyFont="1" applyFill="1" applyBorder="1" applyAlignment="1">
      <alignment horizontal="left"/>
      <protection/>
    </xf>
    <xf numFmtId="0" fontId="37" fillId="0" borderId="45" xfId="77" applyFont="1" applyFill="1" applyBorder="1" applyAlignment="1">
      <alignment horizontal="left"/>
      <protection/>
    </xf>
    <xf numFmtId="0" fontId="37" fillId="0" borderId="41" xfId="77" applyFont="1" applyFill="1" applyBorder="1" applyAlignment="1">
      <alignment horizontal="left"/>
      <protection/>
    </xf>
    <xf numFmtId="0" fontId="36" fillId="0" borderId="37" xfId="0" applyFont="1" applyFill="1" applyBorder="1" applyAlignment="1" quotePrefix="1">
      <alignment horizontal="left" wrapText="1"/>
    </xf>
    <xf numFmtId="0" fontId="36" fillId="0" borderId="45" xfId="0" applyFont="1" applyFill="1" applyBorder="1" applyAlignment="1" quotePrefix="1">
      <alignment horizontal="left" wrapText="1"/>
    </xf>
    <xf numFmtId="0" fontId="36" fillId="0" borderId="41" xfId="0" applyFont="1" applyFill="1" applyBorder="1" applyAlignment="1" quotePrefix="1">
      <alignment horizontal="left" wrapText="1"/>
    </xf>
    <xf numFmtId="0" fontId="37" fillId="0" borderId="30" xfId="77" applyFont="1" applyFill="1" applyBorder="1" applyAlignment="1">
      <alignment horizontal="left"/>
      <protection/>
    </xf>
    <xf numFmtId="0" fontId="37" fillId="0" borderId="31" xfId="77" applyFont="1" applyFill="1" applyBorder="1" applyAlignment="1">
      <alignment horizontal="left"/>
      <protection/>
    </xf>
    <xf numFmtId="0" fontId="37" fillId="0" borderId="23" xfId="77" applyFont="1" applyFill="1" applyBorder="1" applyAlignment="1">
      <alignment horizontal="left"/>
      <protection/>
    </xf>
    <xf numFmtId="0" fontId="36" fillId="0" borderId="39" xfId="0" applyFont="1" applyFill="1" applyBorder="1" applyAlignment="1" quotePrefix="1">
      <alignment horizontal="left" vertical="center" wrapText="1"/>
    </xf>
    <xf numFmtId="0" fontId="36" fillId="0" borderId="43" xfId="0" applyFont="1" applyFill="1" applyBorder="1" applyAlignment="1" quotePrefix="1">
      <alignment horizontal="left" vertical="center" wrapText="1"/>
    </xf>
    <xf numFmtId="0" fontId="36" fillId="0" borderId="44" xfId="0" applyFont="1" applyFill="1" applyBorder="1" applyAlignment="1" quotePrefix="1">
      <alignment horizontal="left" vertical="center" wrapText="1"/>
    </xf>
    <xf numFmtId="0" fontId="31" fillId="0" borderId="25" xfId="0" applyFont="1" applyFill="1" applyBorder="1" applyAlignment="1" quotePrefix="1">
      <alignment horizontal="left" wrapText="1"/>
    </xf>
    <xf numFmtId="0" fontId="31" fillId="0" borderId="42" xfId="0" applyFont="1" applyFill="1" applyBorder="1" applyAlignment="1" quotePrefix="1">
      <alignment horizontal="left" wrapText="1"/>
    </xf>
    <xf numFmtId="0" fontId="31" fillId="0" borderId="33" xfId="0" applyFont="1" applyFill="1" applyBorder="1" applyAlignment="1" quotePrefix="1">
      <alignment horizontal="left" wrapText="1"/>
    </xf>
    <xf numFmtId="0" fontId="31" fillId="0" borderId="0" xfId="77" applyFont="1" applyFill="1" applyBorder="1" applyAlignment="1">
      <alignment horizontal="center" vertical="center"/>
      <protection/>
    </xf>
    <xf numFmtId="0" fontId="29" fillId="0" borderId="25" xfId="0" applyFont="1" applyFill="1" applyBorder="1" applyAlignment="1" quotePrefix="1">
      <alignment horizontal="left" vertical="top"/>
    </xf>
    <xf numFmtId="0" fontId="29" fillId="0" borderId="42" xfId="0" applyFont="1" applyFill="1" applyBorder="1" applyAlignment="1" quotePrefix="1">
      <alignment horizontal="left" vertical="top"/>
    </xf>
    <xf numFmtId="0" fontId="29" fillId="0" borderId="59" xfId="0" applyFont="1" applyFill="1" applyBorder="1" applyAlignment="1" quotePrefix="1">
      <alignment horizontal="left" vertical="top"/>
    </xf>
    <xf numFmtId="0" fontId="29" fillId="0" borderId="50" xfId="0" applyFont="1" applyFill="1" applyBorder="1" applyAlignment="1" quotePrefix="1">
      <alignment horizontal="left" vertical="top"/>
    </xf>
    <xf numFmtId="0" fontId="31" fillId="0" borderId="30" xfId="77" applyFont="1" applyFill="1" applyBorder="1" applyAlignment="1">
      <alignment horizontal="center" vertical="center"/>
      <protection/>
    </xf>
    <xf numFmtId="0" fontId="31" fillId="0" borderId="31" xfId="77" applyFont="1" applyFill="1" applyBorder="1" applyAlignment="1">
      <alignment horizontal="center" vertical="center"/>
      <protection/>
    </xf>
    <xf numFmtId="0" fontId="31" fillId="0" borderId="23" xfId="77" applyFont="1" applyFill="1" applyBorder="1" applyAlignment="1">
      <alignment horizontal="center" vertical="center"/>
      <protection/>
    </xf>
    <xf numFmtId="0" fontId="31" fillId="0" borderId="42" xfId="0" applyFont="1" applyFill="1" applyBorder="1" applyAlignment="1">
      <alignment horizontal="center" vertical="top"/>
    </xf>
    <xf numFmtId="0" fontId="31" fillId="0" borderId="33" xfId="0" applyFont="1" applyFill="1" applyBorder="1" applyAlignment="1">
      <alignment horizontal="center" vertical="top"/>
    </xf>
    <xf numFmtId="0" fontId="29" fillId="0" borderId="25" xfId="0" applyFont="1" applyFill="1" applyBorder="1" applyAlignment="1" quotePrefix="1">
      <alignment horizontal="left" vertical="top" wrapText="1"/>
    </xf>
    <xf numFmtId="0" fontId="29" fillId="0" borderId="42" xfId="0" applyFont="1" applyFill="1" applyBorder="1" applyAlignment="1" quotePrefix="1">
      <alignment horizontal="left" vertical="top" wrapText="1"/>
    </xf>
    <xf numFmtId="0" fontId="31" fillId="0" borderId="61" xfId="0" applyFont="1" applyFill="1" applyBorder="1" applyAlignment="1">
      <alignment horizontal="center" vertical="center"/>
    </xf>
    <xf numFmtId="0" fontId="31" fillId="0" borderId="62" xfId="77" applyFont="1" applyFill="1" applyBorder="1" applyAlignment="1">
      <alignment horizontal="left" vertical="center"/>
      <protection/>
    </xf>
    <xf numFmtId="0" fontId="31" fillId="0" borderId="63" xfId="77" applyFont="1" applyFill="1" applyBorder="1" applyAlignment="1">
      <alignment horizontal="left" vertical="center"/>
      <protection/>
    </xf>
    <xf numFmtId="0" fontId="31" fillId="0" borderId="42" xfId="77" applyFont="1" applyFill="1" applyBorder="1" applyAlignment="1">
      <alignment horizontal="left" vertical="center"/>
      <protection/>
    </xf>
    <xf numFmtId="0" fontId="31" fillId="0" borderId="33" xfId="77" applyFont="1" applyFill="1" applyBorder="1" applyAlignment="1">
      <alignment horizontal="left" vertical="center"/>
      <protection/>
    </xf>
    <xf numFmtId="0" fontId="31" fillId="0" borderId="42" xfId="0" applyFont="1" applyFill="1" applyBorder="1" applyAlignment="1">
      <alignment horizontal="left" vertical="top"/>
    </xf>
    <xf numFmtId="0" fontId="31" fillId="0" borderId="33" xfId="0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31" fillId="0" borderId="22" xfId="0" applyFont="1" applyFill="1" applyBorder="1" applyAlignment="1">
      <alignment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omma 3" xfId="45"/>
    <cellStyle name="Currency" xfId="46"/>
    <cellStyle name="Currency [0]" xfId="47"/>
    <cellStyle name="Excel Built-in Normal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เครื่องหมายจุลภาค 2" xfId="67"/>
    <cellStyle name="เครื่องหมายจุลภาค 2 2" xfId="68"/>
    <cellStyle name="เครื่องหมายจุลภาค 3" xfId="69"/>
    <cellStyle name="เครื่องหมายจุลภาค 4" xfId="70"/>
    <cellStyle name="เซลล์ที่มีการเชื่อมโยง" xfId="71"/>
    <cellStyle name="ปกติ 13" xfId="72"/>
    <cellStyle name="ปกติ 2" xfId="73"/>
    <cellStyle name="ปกติ 3" xfId="74"/>
    <cellStyle name="ปกติ 3 2" xfId="75"/>
    <cellStyle name="ปกติ 4" xfId="76"/>
    <cellStyle name="ปกติ 5" xfId="77"/>
    <cellStyle name="ปกติ_ตารางสรุปค่าดำเนินการและค่าเสื่อมราคา" xfId="78"/>
    <cellStyle name="เปอร์เซ็นต์ 2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123825</xdr:colOff>
      <xdr:row>1</xdr:row>
      <xdr:rowOff>28575</xdr:rowOff>
    </xdr:from>
    <xdr:to>
      <xdr:col>6</xdr:col>
      <xdr:colOff>390525</xdr:colOff>
      <xdr:row>5</xdr:row>
      <xdr:rowOff>209550</xdr:rowOff>
    </xdr:to>
    <xdr:pic>
      <xdr:nvPicPr>
        <xdr:cNvPr id="1" name="Picture 3" descr="โลโก้ มหาฯลัย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304800"/>
          <a:ext cx="10287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85725</xdr:rowOff>
    </xdr:from>
    <xdr:to>
      <xdr:col>1</xdr:col>
      <xdr:colOff>238125</xdr:colOff>
      <xdr:row>2</xdr:row>
      <xdr:rowOff>247650</xdr:rowOff>
    </xdr:to>
    <xdr:pic>
      <xdr:nvPicPr>
        <xdr:cNvPr id="1" name="Picture 4" descr="โลโก้ มหาฯลัย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609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114300</xdr:rowOff>
    </xdr:from>
    <xdr:to>
      <xdr:col>1</xdr:col>
      <xdr:colOff>28575</xdr:colOff>
      <xdr:row>2</xdr:row>
      <xdr:rowOff>209550</xdr:rowOff>
    </xdr:to>
    <xdr:pic>
      <xdr:nvPicPr>
        <xdr:cNvPr id="1" name="Picture 4" descr="โลโก้ มหาฯลัย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14300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1</xdr:col>
      <xdr:colOff>76200</xdr:colOff>
      <xdr:row>2</xdr:row>
      <xdr:rowOff>180975</xdr:rowOff>
    </xdr:to>
    <xdr:pic>
      <xdr:nvPicPr>
        <xdr:cNvPr id="1" name="Picture 4" descr="โลโก้ มหาฯลัย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5715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0</xdr:rowOff>
    </xdr:from>
    <xdr:to>
      <xdr:col>0</xdr:col>
      <xdr:colOff>647700</xdr:colOff>
      <xdr:row>1</xdr:row>
      <xdr:rowOff>257175</xdr:rowOff>
    </xdr:to>
    <xdr:pic>
      <xdr:nvPicPr>
        <xdr:cNvPr id="1" name="Picture 4" descr="โลโก้ มหาฯลัย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438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647700</xdr:colOff>
      <xdr:row>2</xdr:row>
      <xdr:rowOff>85725</xdr:rowOff>
    </xdr:to>
    <xdr:pic>
      <xdr:nvPicPr>
        <xdr:cNvPr id="1" name="Picture 12" descr="โลโก้ มหาฯลัย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6096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114300</xdr:rowOff>
    </xdr:from>
    <xdr:to>
      <xdr:col>1</xdr:col>
      <xdr:colOff>57150</xdr:colOff>
      <xdr:row>2</xdr:row>
      <xdr:rowOff>180975</xdr:rowOff>
    </xdr:to>
    <xdr:pic>
      <xdr:nvPicPr>
        <xdr:cNvPr id="1" name="Picture 7" descr="โลโก้ มหาฯลัย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14300"/>
          <a:ext cx="609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1</xdr:col>
      <xdr:colOff>28575</xdr:colOff>
      <xdr:row>2</xdr:row>
      <xdr:rowOff>180975</xdr:rowOff>
    </xdr:to>
    <xdr:pic>
      <xdr:nvPicPr>
        <xdr:cNvPr id="1" name="Picture 4" descr="โลโก้ มหาฯลัย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581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1</xdr:col>
      <xdr:colOff>123825</xdr:colOff>
      <xdr:row>2</xdr:row>
      <xdr:rowOff>238125</xdr:rowOff>
    </xdr:to>
    <xdr:pic>
      <xdr:nvPicPr>
        <xdr:cNvPr id="1" name="Picture 4" descr="โลโก้ มหาฯลัย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638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1</xdr:col>
      <xdr:colOff>76200</xdr:colOff>
      <xdr:row>2</xdr:row>
      <xdr:rowOff>180975</xdr:rowOff>
    </xdr:to>
    <xdr:pic>
      <xdr:nvPicPr>
        <xdr:cNvPr id="1" name="Picture 4" descr="โลโก้ มหาฯลัย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561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1</xdr:col>
      <xdr:colOff>28575</xdr:colOff>
      <xdr:row>2</xdr:row>
      <xdr:rowOff>190500</xdr:rowOff>
    </xdr:to>
    <xdr:pic>
      <xdr:nvPicPr>
        <xdr:cNvPr id="1" name="Picture 4" descr="โลโก้ มหาฯลัย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5334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114300</xdr:rowOff>
    </xdr:from>
    <xdr:to>
      <xdr:col>0</xdr:col>
      <xdr:colOff>666750</xdr:colOff>
      <xdr:row>2</xdr:row>
      <xdr:rowOff>209550</xdr:rowOff>
    </xdr:to>
    <xdr:pic>
      <xdr:nvPicPr>
        <xdr:cNvPr id="1" name="Picture 4" descr="โลโก้ มหาฯลัย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4300"/>
          <a:ext cx="5619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114300</xdr:colOff>
      <xdr:row>2</xdr:row>
      <xdr:rowOff>219075</xdr:rowOff>
    </xdr:to>
    <xdr:pic>
      <xdr:nvPicPr>
        <xdr:cNvPr id="1" name="Picture 4" descr="โลโก้ มหาฯลัย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.only\Downloads\file:\\C:\Factor%20F\Fbuild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.only\Downloads\file:\\C:\kannika\&#3591;&#3634;&#3609;%20&#3611;&#3637;%202557\&#3648;&#3604;&#3639;&#3629;&#3609;%20&#3605;.&#3588;%2057\&#3611;&#3619;&#3633;&#3610;&#3611;&#3619;&#3640;&#3591;&#3627;&#3629;&#3614;&#3633;&#3585;&#3609;&#3633;&#3585;&#3624;&#3638;&#3585;&#3625;&#3634;\&#3611;&#3619;&#3633;&#3610;&#3611;&#3619;&#3640;&#3591;&#3627;&#3657;&#3629;&#3591;&#3609;&#3657;&#3635;&#3627;&#3629;&#3614;&#3633;&#3585;%20(&#3619;&#3634;&#3588;&#3634;&#3605;&#3634;&#3617;&#3626;&#3633;&#3597;&#3597;&#3634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.only\Downloads\file:\\C:\kannika\&#3591;&#3634;&#3609;&#3611;&#3637;%202555\&#3648;&#3604;&#3639;&#3629;&#3609;%20&#3617;.&#3588;%2055\&#3591;&#3634;&#3609;&#3606;&#3609;&#3609;%20&#3588;&#3626;&#3621;\&#3591;&#3634;&#3609;&#3606;&#3609;&#3609;&#3588;&#3629;&#3609;&#3585;&#3619;&#3637;&#3605;&#3648;&#3626;&#3619;&#3636;&#3617;&#3648;&#3627;&#3621;&#3655;&#3585;%20(&#3619;&#3634;&#3588;&#3634;&#3585;&#3621;&#3634;&#359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ปกและสารบัญ"/>
      <sheetName val="หลักเกณฑ์การใช้ฯ"/>
      <sheetName val="FACTOR F"/>
      <sheetName val=" อำนวยการ 1"/>
      <sheetName val="ดอกเบี้ย,กำไร"/>
      <sheetName val="ภาษี"/>
      <sheetName val="อำนวยการ 2"/>
      <sheetName val="ค่าอำนวยการก่อสร้างทั่วไป"/>
    </sheetNames>
    <sheetDataSet>
      <sheetData sheetId="2">
        <row r="5">
          <cell r="D5">
            <v>0</v>
          </cell>
        </row>
        <row r="6">
          <cell r="D6">
            <v>0</v>
          </cell>
        </row>
      </sheetData>
      <sheetData sheetId="4">
        <row r="52">
          <cell r="G52">
            <v>5</v>
          </cell>
        </row>
        <row r="53">
          <cell r="G53">
            <v>5</v>
          </cell>
        </row>
        <row r="54">
          <cell r="G54">
            <v>5</v>
          </cell>
        </row>
        <row r="55">
          <cell r="G55">
            <v>4.5</v>
          </cell>
        </row>
        <row r="56">
          <cell r="G56">
            <v>4.5</v>
          </cell>
        </row>
        <row r="57">
          <cell r="G57">
            <v>4.5</v>
          </cell>
        </row>
        <row r="58">
          <cell r="G58">
            <v>4.5</v>
          </cell>
        </row>
        <row r="59">
          <cell r="G59">
            <v>4</v>
          </cell>
        </row>
        <row r="60">
          <cell r="G60">
            <v>4</v>
          </cell>
        </row>
        <row r="61">
          <cell r="G61">
            <v>4</v>
          </cell>
        </row>
        <row r="62">
          <cell r="G62">
            <v>4</v>
          </cell>
        </row>
        <row r="63">
          <cell r="G63">
            <v>4</v>
          </cell>
        </row>
        <row r="64">
          <cell r="G64">
            <v>4</v>
          </cell>
        </row>
        <row r="65">
          <cell r="G65">
            <v>4</v>
          </cell>
        </row>
        <row r="66">
          <cell r="G66">
            <v>4</v>
          </cell>
        </row>
        <row r="67">
          <cell r="G67">
            <v>3.5</v>
          </cell>
        </row>
        <row r="68">
          <cell r="G68">
            <v>3.5</v>
          </cell>
        </row>
        <row r="69">
          <cell r="G69">
            <v>3.5</v>
          </cell>
        </row>
        <row r="70">
          <cell r="G70">
            <v>3.5</v>
          </cell>
        </row>
        <row r="71">
          <cell r="G71">
            <v>3.5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ปก"/>
      <sheetName val="สรุป"/>
      <sheetName val="สรุปวัสดุ"/>
      <sheetName val="รายละเอียด"/>
      <sheetName val="รายละเอียด (2)"/>
      <sheetName val="FACTOR F อาคาร "/>
      <sheetName val="DAT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ปก"/>
      <sheetName val="สรุป"/>
      <sheetName val="สรุปวัสดุ"/>
      <sheetName val="รายละเอียด"/>
      <sheetName val="FACTOR F อาคาร"/>
      <sheetName val="DATA"/>
    </sheetNames>
    <sheetDataSet>
      <sheetData sheetId="1">
        <row r="3">
          <cell r="A3" t="str">
            <v>มหาวิทยาลัยราชภัฏอุตรดิตถ์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view="pageBreakPreview" zoomScaleSheetLayoutView="100" workbookViewId="0" topLeftCell="A1">
      <selection activeCell="M23" sqref="M23"/>
    </sheetView>
  </sheetViews>
  <sheetFormatPr defaultColWidth="11.421875" defaultRowHeight="21.75"/>
  <cols>
    <col min="1" max="16384" width="11.421875" style="76" customWidth="1"/>
  </cols>
  <sheetData>
    <row r="1" spans="2:10" ht="21.75">
      <c r="B1" s="75"/>
      <c r="C1" s="75"/>
      <c r="D1" s="75"/>
      <c r="E1" s="75"/>
      <c r="F1" s="75"/>
      <c r="G1" s="75"/>
      <c r="H1" s="75"/>
      <c r="I1" s="75"/>
      <c r="J1" s="75"/>
    </row>
    <row r="2" spans="2:10" ht="21.75">
      <c r="B2" s="75"/>
      <c r="C2" s="75"/>
      <c r="D2" s="75"/>
      <c r="E2" s="75"/>
      <c r="F2" s="75"/>
      <c r="G2" s="75"/>
      <c r="H2" s="75"/>
      <c r="I2" s="75"/>
      <c r="J2" s="75"/>
    </row>
    <row r="3" spans="2:10" ht="21.75">
      <c r="B3" s="75"/>
      <c r="C3" s="75"/>
      <c r="D3" s="75"/>
      <c r="E3" s="75"/>
      <c r="F3" s="75"/>
      <c r="G3" s="75"/>
      <c r="H3" s="75"/>
      <c r="I3" s="75"/>
      <c r="J3" s="75"/>
    </row>
    <row r="4" spans="2:10" ht="21.75">
      <c r="B4" s="75"/>
      <c r="C4" s="75"/>
      <c r="D4" s="75"/>
      <c r="E4" s="75"/>
      <c r="F4" s="75"/>
      <c r="G4" s="75"/>
      <c r="H4" s="75"/>
      <c r="I4" s="75"/>
      <c r="J4" s="75"/>
    </row>
    <row r="5" spans="2:10" ht="21.75">
      <c r="B5" s="75"/>
      <c r="C5" s="75"/>
      <c r="D5" s="75"/>
      <c r="E5" s="75"/>
      <c r="F5" s="75"/>
      <c r="G5" s="75"/>
      <c r="H5" s="75"/>
      <c r="I5" s="75"/>
      <c r="J5" s="75"/>
    </row>
    <row r="6" spans="2:10" ht="21.75">
      <c r="B6" s="75"/>
      <c r="C6" s="75"/>
      <c r="D6" s="75"/>
      <c r="E6" s="75"/>
      <c r="F6" s="75"/>
      <c r="G6" s="75"/>
      <c r="H6" s="75"/>
      <c r="I6" s="75"/>
      <c r="J6" s="75"/>
    </row>
    <row r="7" spans="2:10" ht="21.75">
      <c r="B7" s="75"/>
      <c r="C7" s="75"/>
      <c r="D7" s="75"/>
      <c r="E7" s="75"/>
      <c r="F7" s="75"/>
      <c r="G7" s="75"/>
      <c r="H7" s="75"/>
      <c r="I7" s="75"/>
      <c r="J7" s="75"/>
    </row>
    <row r="8" spans="1:12" ht="36" customHeight="1">
      <c r="A8" s="611" t="s">
        <v>73</v>
      </c>
      <c r="B8" s="611"/>
      <c r="C8" s="611"/>
      <c r="D8" s="611"/>
      <c r="E8" s="611"/>
      <c r="F8" s="611"/>
      <c r="G8" s="611"/>
      <c r="H8" s="611"/>
      <c r="I8" s="611"/>
      <c r="J8" s="611"/>
      <c r="K8" s="611"/>
      <c r="L8" s="611"/>
    </row>
    <row r="9" spans="2:10" ht="21.75">
      <c r="B9" s="75"/>
      <c r="C9" s="75"/>
      <c r="D9" s="75"/>
      <c r="E9" s="75"/>
      <c r="F9" s="75"/>
      <c r="G9" s="75"/>
      <c r="H9" s="75"/>
      <c r="I9" s="75"/>
      <c r="J9" s="75"/>
    </row>
    <row r="10" spans="1:12" ht="33" customHeight="1">
      <c r="A10" s="612" t="str">
        <f>สรุป!A2</f>
        <v>ปรับปรุงศูนย์เวชศาสตร์ฟื้นฟูและดูแลผู้สูงวัย</v>
      </c>
      <c r="B10" s="612"/>
      <c r="C10" s="612"/>
      <c r="D10" s="612"/>
      <c r="E10" s="612"/>
      <c r="F10" s="612"/>
      <c r="G10" s="612"/>
      <c r="H10" s="612"/>
      <c r="I10" s="612"/>
      <c r="J10" s="612"/>
      <c r="K10" s="612"/>
      <c r="L10" s="612"/>
    </row>
    <row r="11" spans="1:12" ht="33" customHeight="1">
      <c r="A11" s="612" t="s">
        <v>13</v>
      </c>
      <c r="B11" s="612"/>
      <c r="C11" s="612"/>
      <c r="D11" s="612"/>
      <c r="E11" s="612"/>
      <c r="F11" s="612"/>
      <c r="G11" s="612"/>
      <c r="H11" s="612"/>
      <c r="I11" s="612"/>
      <c r="J11" s="612"/>
      <c r="K11" s="612"/>
      <c r="L11" s="612"/>
    </row>
    <row r="12" spans="1:12" ht="24">
      <c r="A12" s="613" t="s">
        <v>691</v>
      </c>
      <c r="B12" s="613"/>
      <c r="C12" s="613"/>
      <c r="D12" s="613"/>
      <c r="E12" s="613"/>
      <c r="F12" s="613"/>
      <c r="G12" s="613"/>
      <c r="H12" s="613"/>
      <c r="I12" s="613"/>
      <c r="J12" s="613"/>
      <c r="K12" s="613"/>
      <c r="L12" s="613"/>
    </row>
    <row r="13" spans="2:10" ht="21.75">
      <c r="B13" s="75"/>
      <c r="C13" s="75"/>
      <c r="D13" s="75"/>
      <c r="E13" s="75"/>
      <c r="F13" s="75"/>
      <c r="G13" s="75"/>
      <c r="H13" s="75"/>
      <c r="I13" s="75"/>
      <c r="J13" s="75"/>
    </row>
    <row r="14" spans="2:10" ht="21.75">
      <c r="B14" s="75"/>
      <c r="C14" s="75"/>
      <c r="D14" s="75"/>
      <c r="E14" s="75"/>
      <c r="F14" s="75"/>
      <c r="G14" s="75"/>
      <c r="H14" s="75"/>
      <c r="I14" s="75"/>
      <c r="J14" s="75"/>
    </row>
    <row r="15" spans="1:10" ht="24">
      <c r="A15" s="614"/>
      <c r="B15" s="614"/>
      <c r="C15" s="614"/>
      <c r="D15" s="614"/>
      <c r="E15" s="614"/>
      <c r="F15" s="614"/>
      <c r="G15" s="614"/>
      <c r="H15" s="614"/>
      <c r="I15" s="614"/>
      <c r="J15" s="614"/>
    </row>
    <row r="16" spans="2:10" ht="24">
      <c r="B16" s="86"/>
      <c r="C16" s="86"/>
      <c r="D16" s="86"/>
      <c r="E16" s="86"/>
      <c r="F16" s="86"/>
      <c r="G16" s="86"/>
      <c r="H16" s="86"/>
      <c r="I16" s="86"/>
      <c r="J16" s="75"/>
    </row>
    <row r="17" spans="1:10" ht="24">
      <c r="A17" s="614"/>
      <c r="B17" s="614"/>
      <c r="C17" s="614"/>
      <c r="D17" s="614"/>
      <c r="E17" s="614"/>
      <c r="F17" s="614"/>
      <c r="G17" s="614"/>
      <c r="H17" s="614"/>
      <c r="I17" s="614"/>
      <c r="J17" s="614"/>
    </row>
    <row r="18" spans="1:10" ht="24">
      <c r="A18" s="614"/>
      <c r="B18" s="614"/>
      <c r="C18" s="614"/>
      <c r="D18" s="614"/>
      <c r="E18" s="614"/>
      <c r="F18" s="614"/>
      <c r="G18" s="614"/>
      <c r="H18" s="614"/>
      <c r="I18" s="614"/>
      <c r="J18" s="614"/>
    </row>
    <row r="19" spans="1:10" ht="24">
      <c r="A19" s="614"/>
      <c r="B19" s="614"/>
      <c r="C19" s="614"/>
      <c r="D19" s="614"/>
      <c r="E19" s="614"/>
      <c r="F19" s="614"/>
      <c r="G19" s="614"/>
      <c r="H19" s="614"/>
      <c r="I19" s="614"/>
      <c r="J19" s="614"/>
    </row>
    <row r="20" ht="21.75">
      <c r="J20" s="75"/>
    </row>
    <row r="21" ht="21.75">
      <c r="J21" s="75"/>
    </row>
    <row r="22" spans="2:10" ht="21.75">
      <c r="B22" s="75"/>
      <c r="C22" s="75"/>
      <c r="D22" s="75"/>
      <c r="E22" s="75"/>
      <c r="F22" s="75"/>
      <c r="G22" s="75"/>
      <c r="H22" s="75"/>
      <c r="I22" s="75"/>
      <c r="J22" s="75"/>
    </row>
    <row r="23" spans="2:10" ht="21.75">
      <c r="B23" s="75"/>
      <c r="C23" s="75"/>
      <c r="D23" s="75"/>
      <c r="E23" s="75"/>
      <c r="F23" s="75"/>
      <c r="G23" s="75"/>
      <c r="H23" s="75"/>
      <c r="I23" s="75"/>
      <c r="J23" s="75"/>
    </row>
    <row r="24" spans="2:10" ht="21.75">
      <c r="B24" s="75"/>
      <c r="C24" s="75"/>
      <c r="D24" s="75"/>
      <c r="E24" s="75"/>
      <c r="F24" s="75"/>
      <c r="G24" s="75"/>
      <c r="H24" s="75"/>
      <c r="I24" s="75"/>
      <c r="J24" s="75"/>
    </row>
    <row r="25" spans="2:10" ht="21.75">
      <c r="B25" s="75"/>
      <c r="C25" s="75"/>
      <c r="D25" s="75"/>
      <c r="E25" s="75"/>
      <c r="F25" s="75"/>
      <c r="G25" s="75"/>
      <c r="H25" s="75"/>
      <c r="I25" s="75"/>
      <c r="J25" s="75"/>
    </row>
    <row r="26" spans="2:10" ht="21.75">
      <c r="B26" s="75"/>
      <c r="C26" s="75"/>
      <c r="D26" s="75"/>
      <c r="E26" s="75"/>
      <c r="F26" s="75"/>
      <c r="G26" s="75"/>
      <c r="H26" s="75"/>
      <c r="I26" s="75"/>
      <c r="J26" s="75"/>
    </row>
    <row r="27" ht="27">
      <c r="J27" s="77"/>
    </row>
    <row r="28" ht="27">
      <c r="J28" s="78"/>
    </row>
    <row r="29" ht="27">
      <c r="J29" s="79"/>
    </row>
    <row r="30" ht="27">
      <c r="J30" s="79"/>
    </row>
    <row r="31" ht="27">
      <c r="J31" s="79"/>
    </row>
    <row r="32" spans="1:10" ht="27">
      <c r="A32" s="80"/>
      <c r="B32" s="81"/>
      <c r="C32" s="81"/>
      <c r="D32" s="81"/>
      <c r="E32" s="81"/>
      <c r="F32" s="81"/>
      <c r="G32" s="81"/>
      <c r="H32" s="81"/>
      <c r="I32" s="81"/>
      <c r="J32" s="82"/>
    </row>
    <row r="33" spans="2:10" ht="27">
      <c r="B33" s="83"/>
      <c r="C33" s="83"/>
      <c r="D33" s="83"/>
      <c r="E33" s="83"/>
      <c r="F33" s="83"/>
      <c r="G33" s="83"/>
      <c r="H33" s="83"/>
      <c r="I33" s="83"/>
      <c r="J33" s="79"/>
    </row>
    <row r="34" spans="2:10" ht="27">
      <c r="B34" s="83"/>
      <c r="C34" s="83"/>
      <c r="D34" s="83"/>
      <c r="E34" s="83"/>
      <c r="F34" s="83"/>
      <c r="G34" s="83"/>
      <c r="H34" s="83"/>
      <c r="I34" s="83"/>
      <c r="J34" s="79"/>
    </row>
    <row r="35" spans="2:10" ht="27">
      <c r="B35" s="83"/>
      <c r="C35" s="83"/>
      <c r="D35" s="83"/>
      <c r="E35" s="83"/>
      <c r="F35" s="83"/>
      <c r="G35" s="83"/>
      <c r="H35" s="83"/>
      <c r="I35" s="83"/>
      <c r="J35" s="79"/>
    </row>
    <row r="36" spans="2:10" ht="21.75">
      <c r="B36" s="75"/>
      <c r="C36" s="75"/>
      <c r="D36" s="75"/>
      <c r="E36" s="75"/>
      <c r="F36" s="75"/>
      <c r="G36" s="75"/>
      <c r="H36" s="75"/>
      <c r="I36" s="75"/>
      <c r="J36" s="75"/>
    </row>
    <row r="37" spans="1:10" ht="21.75">
      <c r="A37" s="84"/>
      <c r="B37" s="84"/>
      <c r="C37" s="84"/>
      <c r="D37" s="84"/>
      <c r="E37" s="84"/>
      <c r="F37" s="84"/>
      <c r="G37" s="84"/>
      <c r="H37" s="84"/>
      <c r="I37" s="84"/>
      <c r="J37" s="84"/>
    </row>
    <row r="38" spans="1:10" ht="21.75">
      <c r="A38" s="85"/>
      <c r="B38" s="85"/>
      <c r="C38" s="85"/>
      <c r="D38" s="85"/>
      <c r="E38" s="85"/>
      <c r="F38" s="85"/>
      <c r="G38" s="85"/>
      <c r="H38" s="85"/>
      <c r="I38" s="85"/>
      <c r="J38" s="85"/>
    </row>
  </sheetData>
  <sheetProtection/>
  <mergeCells count="8">
    <mergeCell ref="A8:L8"/>
    <mergeCell ref="A10:L10"/>
    <mergeCell ref="A11:L11"/>
    <mergeCell ref="A12:L12"/>
    <mergeCell ref="A19:J19"/>
    <mergeCell ref="A15:J15"/>
    <mergeCell ref="A17:J17"/>
    <mergeCell ref="A18:J18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K86"/>
  <sheetViews>
    <sheetView view="pageBreakPreview" zoomScaleSheetLayoutView="100" workbookViewId="0" topLeftCell="A22">
      <selection activeCell="L83" sqref="L83"/>
    </sheetView>
  </sheetViews>
  <sheetFormatPr defaultColWidth="11.421875" defaultRowHeight="21.75"/>
  <cols>
    <col min="1" max="1" width="6.8515625" style="351" customWidth="1"/>
    <col min="2" max="2" width="56.140625" style="321" customWidth="1"/>
    <col min="3" max="3" width="10.8515625" style="352" customWidth="1"/>
    <col min="4" max="4" width="10.8515625" style="351" customWidth="1"/>
    <col min="5" max="5" width="11.8515625" style="352" customWidth="1"/>
    <col min="6" max="6" width="13.8515625" style="352" customWidth="1"/>
    <col min="7" max="7" width="11.8515625" style="352" customWidth="1"/>
    <col min="8" max="8" width="13.8515625" style="352" customWidth="1"/>
    <col min="9" max="9" width="15.8515625" style="352" customWidth="1"/>
    <col min="10" max="10" width="31.8515625" style="329" customWidth="1"/>
    <col min="11" max="11" width="20.421875" style="321" customWidth="1"/>
    <col min="12" max="16384" width="11.421875" style="321" customWidth="1"/>
  </cols>
  <sheetData>
    <row r="1" spans="1:11" ht="21.75">
      <c r="A1" s="426"/>
      <c r="B1" s="709" t="s">
        <v>18</v>
      </c>
      <c r="C1" s="709"/>
      <c r="D1" s="709"/>
      <c r="E1" s="709"/>
      <c r="F1" s="709"/>
      <c r="G1" s="709"/>
      <c r="H1" s="709"/>
      <c r="I1" s="710"/>
      <c r="J1" s="427"/>
      <c r="K1" s="329"/>
    </row>
    <row r="2" spans="1:11" ht="21.75">
      <c r="A2" s="428"/>
      <c r="B2" s="698" t="s">
        <v>91</v>
      </c>
      <c r="C2" s="698"/>
      <c r="D2" s="698"/>
      <c r="E2" s="698"/>
      <c r="F2" s="698"/>
      <c r="G2" s="698"/>
      <c r="H2" s="698"/>
      <c r="I2" s="712"/>
      <c r="J2" s="429"/>
      <c r="K2" s="329"/>
    </row>
    <row r="3" spans="1:11" ht="21.75">
      <c r="A3" s="430"/>
      <c r="B3" s="714" t="s">
        <v>13</v>
      </c>
      <c r="C3" s="714"/>
      <c r="D3" s="714"/>
      <c r="E3" s="714"/>
      <c r="F3" s="714"/>
      <c r="G3" s="714"/>
      <c r="H3" s="714"/>
      <c r="I3" s="715"/>
      <c r="J3" s="429"/>
      <c r="K3" s="329"/>
    </row>
    <row r="4" spans="1:11" ht="21.75">
      <c r="A4" s="728" t="s">
        <v>0</v>
      </c>
      <c r="B4" s="729" t="s">
        <v>1</v>
      </c>
      <c r="C4" s="730" t="s">
        <v>2</v>
      </c>
      <c r="D4" s="728" t="s">
        <v>3</v>
      </c>
      <c r="E4" s="716" t="s">
        <v>4</v>
      </c>
      <c r="F4" s="717"/>
      <c r="G4" s="718" t="s">
        <v>5</v>
      </c>
      <c r="H4" s="717"/>
      <c r="I4" s="730" t="s">
        <v>6</v>
      </c>
      <c r="J4" s="707"/>
      <c r="K4" s="329"/>
    </row>
    <row r="5" spans="1:11" ht="21.75">
      <c r="A5" s="700"/>
      <c r="B5" s="702"/>
      <c r="C5" s="703"/>
      <c r="D5" s="700"/>
      <c r="E5" s="70" t="s">
        <v>7</v>
      </c>
      <c r="F5" s="70" t="s">
        <v>8</v>
      </c>
      <c r="G5" s="70" t="s">
        <v>7</v>
      </c>
      <c r="H5" s="70" t="s">
        <v>8</v>
      </c>
      <c r="I5" s="703"/>
      <c r="J5" s="707"/>
      <c r="K5" s="329"/>
    </row>
    <row r="6" spans="1:10" ht="21.75" customHeight="1">
      <c r="A6" s="353">
        <v>6</v>
      </c>
      <c r="B6" s="323" t="s">
        <v>180</v>
      </c>
      <c r="C6" s="275"/>
      <c r="D6" s="275"/>
      <c r="E6" s="275"/>
      <c r="F6" s="275"/>
      <c r="G6" s="275"/>
      <c r="H6" s="275"/>
      <c r="I6" s="275"/>
      <c r="J6" s="431"/>
    </row>
    <row r="7" spans="1:11" s="432" customFormat="1" ht="21.75" customHeight="1">
      <c r="A7" s="336">
        <v>6.01</v>
      </c>
      <c r="B7" s="230" t="s">
        <v>104</v>
      </c>
      <c r="C7" s="231"/>
      <c r="D7" s="231"/>
      <c r="E7" s="231"/>
      <c r="F7" s="231"/>
      <c r="G7" s="231"/>
      <c r="H7" s="231"/>
      <c r="I7" s="231"/>
      <c r="J7" s="329"/>
      <c r="K7" s="326"/>
    </row>
    <row r="8" spans="1:10" s="326" customFormat="1" ht="21.75" customHeight="1">
      <c r="A8" s="336"/>
      <c r="B8" s="230" t="s">
        <v>214</v>
      </c>
      <c r="C8" s="231"/>
      <c r="D8" s="231"/>
      <c r="E8" s="231"/>
      <c r="F8" s="231"/>
      <c r="G8" s="231"/>
      <c r="H8" s="231"/>
      <c r="I8" s="231"/>
      <c r="J8" s="431"/>
    </row>
    <row r="9" spans="1:10" s="326" customFormat="1" ht="21.75" customHeight="1">
      <c r="A9" s="327"/>
      <c r="B9" s="287" t="s">
        <v>105</v>
      </c>
      <c r="C9" s="159">
        <v>67</v>
      </c>
      <c r="D9" s="185" t="s">
        <v>106</v>
      </c>
      <c r="E9" s="159">
        <v>0</v>
      </c>
      <c r="F9" s="159">
        <f>+C9*E9</f>
        <v>0</v>
      </c>
      <c r="G9" s="159">
        <v>250</v>
      </c>
      <c r="H9" s="159">
        <f>+G9*C9</f>
        <v>16750</v>
      </c>
      <c r="I9" s="159">
        <f>+F9+H9</f>
        <v>16750</v>
      </c>
      <c r="J9" s="431"/>
    </row>
    <row r="10" spans="1:10" s="326" customFormat="1" ht="21.75" customHeight="1">
      <c r="A10" s="327"/>
      <c r="B10" s="287" t="s">
        <v>206</v>
      </c>
      <c r="C10" s="159">
        <v>67</v>
      </c>
      <c r="D10" s="185" t="s">
        <v>75</v>
      </c>
      <c r="E10" s="159">
        <v>52</v>
      </c>
      <c r="F10" s="159">
        <f aca="true" t="shared" si="0" ref="F10:F15">+C10*E10</f>
        <v>3484</v>
      </c>
      <c r="G10" s="159">
        <v>47</v>
      </c>
      <c r="H10" s="159">
        <f aca="true" t="shared" si="1" ref="H10:H15">+G10*C10</f>
        <v>3149</v>
      </c>
      <c r="I10" s="159">
        <f aca="true" t="shared" si="2" ref="I10:I16">+F10+H10</f>
        <v>6633</v>
      </c>
      <c r="J10" s="431"/>
    </row>
    <row r="11" spans="1:11" s="326" customFormat="1" ht="21.75" customHeight="1">
      <c r="A11" s="327"/>
      <c r="B11" s="287" t="s">
        <v>107</v>
      </c>
      <c r="C11" s="159">
        <v>1536</v>
      </c>
      <c r="D11" s="185" t="s">
        <v>181</v>
      </c>
      <c r="E11" s="159">
        <v>9.5</v>
      </c>
      <c r="F11" s="159">
        <f t="shared" si="0"/>
        <v>14592</v>
      </c>
      <c r="G11" s="159">
        <v>6</v>
      </c>
      <c r="H11" s="159">
        <f t="shared" si="1"/>
        <v>9216</v>
      </c>
      <c r="I11" s="159">
        <f t="shared" si="2"/>
        <v>23808</v>
      </c>
      <c r="J11" s="433" t="s">
        <v>702</v>
      </c>
      <c r="K11" s="433"/>
    </row>
    <row r="12" spans="1:10" s="326" customFormat="1" ht="21.75" customHeight="1">
      <c r="A12" s="327"/>
      <c r="B12" s="287" t="s">
        <v>108</v>
      </c>
      <c r="C12" s="159">
        <v>615</v>
      </c>
      <c r="D12" s="185" t="s">
        <v>181</v>
      </c>
      <c r="E12" s="159">
        <v>25</v>
      </c>
      <c r="F12" s="159">
        <f t="shared" si="0"/>
        <v>15375</v>
      </c>
      <c r="G12" s="159">
        <v>10</v>
      </c>
      <c r="H12" s="159">
        <f t="shared" si="1"/>
        <v>6150</v>
      </c>
      <c r="I12" s="159">
        <f t="shared" si="2"/>
        <v>21525</v>
      </c>
      <c r="J12" s="431"/>
    </row>
    <row r="13" spans="1:10" s="326" customFormat="1" ht="21.75" customHeight="1">
      <c r="A13" s="327"/>
      <c r="B13" s="287" t="s">
        <v>109</v>
      </c>
      <c r="C13" s="159">
        <v>135</v>
      </c>
      <c r="D13" s="185" t="s">
        <v>181</v>
      </c>
      <c r="E13" s="159">
        <v>13</v>
      </c>
      <c r="F13" s="159">
        <f t="shared" si="0"/>
        <v>1755</v>
      </c>
      <c r="G13" s="159">
        <v>4</v>
      </c>
      <c r="H13" s="159">
        <f t="shared" si="1"/>
        <v>540</v>
      </c>
      <c r="I13" s="159">
        <f t="shared" si="2"/>
        <v>2295</v>
      </c>
      <c r="J13" s="431"/>
    </row>
    <row r="14" spans="1:10" s="326" customFormat="1" ht="21.75" customHeight="1">
      <c r="A14" s="327"/>
      <c r="B14" s="287" t="s">
        <v>470</v>
      </c>
      <c r="C14" s="159">
        <v>1</v>
      </c>
      <c r="D14" s="185" t="s">
        <v>76</v>
      </c>
      <c r="E14" s="159">
        <v>5732.25</v>
      </c>
      <c r="F14" s="159">
        <f t="shared" si="0"/>
        <v>5732.25</v>
      </c>
      <c r="G14" s="159">
        <v>2716</v>
      </c>
      <c r="H14" s="159">
        <f t="shared" si="1"/>
        <v>2716</v>
      </c>
      <c r="I14" s="159">
        <f t="shared" si="2"/>
        <v>8448.25</v>
      </c>
      <c r="J14" s="433"/>
    </row>
    <row r="15" spans="1:10" s="326" customFormat="1" ht="21.75" customHeight="1">
      <c r="A15" s="327"/>
      <c r="B15" s="287" t="s">
        <v>111</v>
      </c>
      <c r="C15" s="186">
        <v>1</v>
      </c>
      <c r="D15" s="187" t="s">
        <v>76</v>
      </c>
      <c r="E15" s="186">
        <v>3100.8</v>
      </c>
      <c r="F15" s="186">
        <f t="shared" si="0"/>
        <v>3100.8</v>
      </c>
      <c r="G15" s="186">
        <v>1771.35</v>
      </c>
      <c r="H15" s="186">
        <f t="shared" si="1"/>
        <v>1771.35</v>
      </c>
      <c r="I15" s="186">
        <f t="shared" si="2"/>
        <v>4872.15</v>
      </c>
      <c r="J15" s="431"/>
    </row>
    <row r="16" spans="1:10" s="326" customFormat="1" ht="21.75" customHeight="1">
      <c r="A16" s="327"/>
      <c r="B16" s="287" t="s">
        <v>112</v>
      </c>
      <c r="C16" s="159">
        <v>1</v>
      </c>
      <c r="D16" s="185" t="s">
        <v>76</v>
      </c>
      <c r="E16" s="159">
        <v>0</v>
      </c>
      <c r="F16" s="159">
        <f>C16*E16</f>
        <v>0</v>
      </c>
      <c r="G16" s="159">
        <v>0</v>
      </c>
      <c r="H16" s="159">
        <f>G16*C16</f>
        <v>0</v>
      </c>
      <c r="I16" s="159">
        <f t="shared" si="2"/>
        <v>0</v>
      </c>
      <c r="J16" s="433"/>
    </row>
    <row r="17" spans="1:11" s="326" customFormat="1" ht="21.75" customHeight="1">
      <c r="A17" s="336"/>
      <c r="B17" s="434" t="s">
        <v>215</v>
      </c>
      <c r="C17" s="231"/>
      <c r="D17" s="231"/>
      <c r="E17" s="231"/>
      <c r="F17" s="435">
        <f>SUM(F9:F16)</f>
        <v>44039.05</v>
      </c>
      <c r="G17" s="231"/>
      <c r="H17" s="435">
        <f>SUM(H9:H16)</f>
        <v>40292.35</v>
      </c>
      <c r="I17" s="435">
        <f>SUM(I9:I16)</f>
        <v>84331.4</v>
      </c>
      <c r="J17" s="431"/>
      <c r="K17" s="436"/>
    </row>
    <row r="18" spans="1:10" s="326" customFormat="1" ht="42.75" customHeight="1">
      <c r="A18" s="324">
        <v>6.02</v>
      </c>
      <c r="B18" s="325" t="s">
        <v>216</v>
      </c>
      <c r="C18" s="231"/>
      <c r="D18" s="231"/>
      <c r="E18" s="231"/>
      <c r="F18" s="231"/>
      <c r="G18" s="231"/>
      <c r="H18" s="231"/>
      <c r="I18" s="231"/>
      <c r="J18" s="431"/>
    </row>
    <row r="19" spans="1:10" s="326" customFormat="1" ht="21.75" customHeight="1">
      <c r="A19" s="327"/>
      <c r="B19" s="287" t="s">
        <v>113</v>
      </c>
      <c r="C19" s="159">
        <v>428</v>
      </c>
      <c r="D19" s="167" t="s">
        <v>181</v>
      </c>
      <c r="E19" s="159">
        <v>14.5</v>
      </c>
      <c r="F19" s="159">
        <f>+C19*E19</f>
        <v>6206</v>
      </c>
      <c r="G19" s="159">
        <v>8</v>
      </c>
      <c r="H19" s="159">
        <f>+G19*C19</f>
        <v>3424</v>
      </c>
      <c r="I19" s="159">
        <f>+F19+H19</f>
        <v>9630</v>
      </c>
      <c r="J19" s="431"/>
    </row>
    <row r="20" spans="1:10" s="326" customFormat="1" ht="21.75" customHeight="1">
      <c r="A20" s="327"/>
      <c r="B20" s="287" t="s">
        <v>114</v>
      </c>
      <c r="C20" s="159">
        <v>107</v>
      </c>
      <c r="D20" s="167" t="s">
        <v>181</v>
      </c>
      <c r="E20" s="159">
        <v>9.5</v>
      </c>
      <c r="F20" s="159">
        <f>+C20*E20</f>
        <v>1016.5</v>
      </c>
      <c r="G20" s="159">
        <v>6</v>
      </c>
      <c r="H20" s="159">
        <f>+G20*C20</f>
        <v>642</v>
      </c>
      <c r="I20" s="159">
        <f>+F20+H20</f>
        <v>1658.5</v>
      </c>
      <c r="J20" s="431"/>
    </row>
    <row r="21" spans="1:9" ht="21.75">
      <c r="A21" s="331"/>
      <c r="B21" s="285" t="s">
        <v>115</v>
      </c>
      <c r="C21" s="199">
        <v>80</v>
      </c>
      <c r="D21" s="332" t="s">
        <v>181</v>
      </c>
      <c r="E21" s="199">
        <v>38</v>
      </c>
      <c r="F21" s="199">
        <f>+C21*E21</f>
        <v>3040</v>
      </c>
      <c r="G21" s="199">
        <v>10</v>
      </c>
      <c r="H21" s="199">
        <f>+G21*C21</f>
        <v>800</v>
      </c>
      <c r="I21" s="199">
        <f>+F21+H21</f>
        <v>3840</v>
      </c>
    </row>
    <row r="22" spans="1:9" ht="21.75">
      <c r="A22" s="370"/>
      <c r="B22" s="286" t="s">
        <v>470</v>
      </c>
      <c r="C22" s="201">
        <v>1</v>
      </c>
      <c r="D22" s="202" t="s">
        <v>76</v>
      </c>
      <c r="E22" s="201">
        <v>1064</v>
      </c>
      <c r="F22" s="201">
        <f>+C22*E22</f>
        <v>1064</v>
      </c>
      <c r="G22" s="201">
        <v>608.5</v>
      </c>
      <c r="H22" s="201">
        <f>+G22*C22</f>
        <v>608.5</v>
      </c>
      <c r="I22" s="201">
        <f>+F22+H22</f>
        <v>1672.5</v>
      </c>
    </row>
    <row r="23" spans="1:9" ht="43.5">
      <c r="A23" s="327"/>
      <c r="B23" s="437" t="s">
        <v>227</v>
      </c>
      <c r="C23" s="231"/>
      <c r="D23" s="231"/>
      <c r="E23" s="231"/>
      <c r="F23" s="438">
        <f>SUM(F19:F22)</f>
        <v>11326.5</v>
      </c>
      <c r="G23" s="372"/>
      <c r="H23" s="438">
        <f>SUM(H19:H22)</f>
        <v>5474.5</v>
      </c>
      <c r="I23" s="216">
        <f>SUM(I19:I22)</f>
        <v>16801</v>
      </c>
    </row>
    <row r="24" spans="1:10" ht="43.5">
      <c r="A24" s="324">
        <v>6.03</v>
      </c>
      <c r="B24" s="325" t="s">
        <v>217</v>
      </c>
      <c r="C24" s="231"/>
      <c r="D24" s="231"/>
      <c r="E24" s="231"/>
      <c r="F24" s="231"/>
      <c r="G24" s="231"/>
      <c r="H24" s="231"/>
      <c r="I24" s="231"/>
      <c r="J24" s="439"/>
    </row>
    <row r="25" spans="1:10" ht="21.75">
      <c r="A25" s="327"/>
      <c r="B25" s="287" t="s">
        <v>113</v>
      </c>
      <c r="C25" s="159">
        <v>652</v>
      </c>
      <c r="D25" s="185" t="s">
        <v>181</v>
      </c>
      <c r="E25" s="159">
        <v>14.5</v>
      </c>
      <c r="F25" s="159">
        <f>+C25*E25</f>
        <v>9454</v>
      </c>
      <c r="G25" s="159">
        <v>8</v>
      </c>
      <c r="H25" s="159">
        <f>+G25*C25</f>
        <v>5216</v>
      </c>
      <c r="I25" s="159">
        <f>+F25+H25</f>
        <v>14670</v>
      </c>
      <c r="J25" s="439"/>
    </row>
    <row r="26" spans="1:10" ht="21.75">
      <c r="A26" s="327"/>
      <c r="B26" s="287" t="s">
        <v>114</v>
      </c>
      <c r="C26" s="159">
        <v>163</v>
      </c>
      <c r="D26" s="185" t="s">
        <v>181</v>
      </c>
      <c r="E26" s="159">
        <v>9.5</v>
      </c>
      <c r="F26" s="159">
        <f>+C26*E26</f>
        <v>1548.5</v>
      </c>
      <c r="G26" s="159">
        <v>6</v>
      </c>
      <c r="H26" s="159">
        <f>+G26*C26</f>
        <v>978</v>
      </c>
      <c r="I26" s="159">
        <f>+F26+H26</f>
        <v>2526.5</v>
      </c>
      <c r="J26" s="439"/>
    </row>
    <row r="27" spans="1:10" ht="21.75">
      <c r="A27" s="336"/>
      <c r="B27" s="287" t="s">
        <v>115</v>
      </c>
      <c r="C27" s="159">
        <v>59</v>
      </c>
      <c r="D27" s="185" t="s">
        <v>181</v>
      </c>
      <c r="E27" s="159">
        <v>38</v>
      </c>
      <c r="F27" s="159">
        <f>+C27*E27</f>
        <v>2242</v>
      </c>
      <c r="G27" s="159">
        <v>12</v>
      </c>
      <c r="H27" s="159">
        <f>+G27*C27</f>
        <v>708</v>
      </c>
      <c r="I27" s="159">
        <f>+F27+H27</f>
        <v>2950</v>
      </c>
      <c r="J27" s="439"/>
    </row>
    <row r="28" spans="1:9" ht="21.75">
      <c r="A28" s="336"/>
      <c r="B28" s="287" t="s">
        <v>116</v>
      </c>
      <c r="C28" s="159">
        <v>45</v>
      </c>
      <c r="D28" s="185" t="s">
        <v>181</v>
      </c>
      <c r="E28" s="159">
        <v>109</v>
      </c>
      <c r="F28" s="159">
        <f>+C28*E28</f>
        <v>4905</v>
      </c>
      <c r="G28" s="159">
        <v>18</v>
      </c>
      <c r="H28" s="159">
        <f>+G28*C28</f>
        <v>810</v>
      </c>
      <c r="I28" s="159">
        <f>+F28+H28</f>
        <v>5715</v>
      </c>
    </row>
    <row r="29" spans="1:9" ht="21.75">
      <c r="A29" s="235"/>
      <c r="B29" s="287" t="s">
        <v>470</v>
      </c>
      <c r="C29" s="159">
        <v>1</v>
      </c>
      <c r="D29" s="185" t="s">
        <v>76</v>
      </c>
      <c r="E29" s="159">
        <v>2501.45</v>
      </c>
      <c r="F29" s="159">
        <f>+C29*E29</f>
        <v>2501.45</v>
      </c>
      <c r="G29" s="159">
        <v>1885.5</v>
      </c>
      <c r="H29" s="159">
        <f>+G29*C29</f>
        <v>1885.5</v>
      </c>
      <c r="I29" s="159">
        <f>+F29+H29</f>
        <v>4386.95</v>
      </c>
    </row>
    <row r="30" spans="1:9" ht="43.5">
      <c r="A30" s="235"/>
      <c r="B30" s="437" t="s">
        <v>207</v>
      </c>
      <c r="C30" s="372"/>
      <c r="D30" s="372"/>
      <c r="E30" s="372"/>
      <c r="F30" s="438">
        <f>SUM(F25:F29)</f>
        <v>20650.95</v>
      </c>
      <c r="G30" s="372"/>
      <c r="H30" s="438">
        <f>SUM(H25:H29)</f>
        <v>9597.5</v>
      </c>
      <c r="I30" s="216">
        <f>SUM(I25:I29)</f>
        <v>30248.45</v>
      </c>
    </row>
    <row r="31" spans="1:9" ht="43.5">
      <c r="A31" s="324">
        <v>6.04</v>
      </c>
      <c r="B31" s="325" t="s">
        <v>220</v>
      </c>
      <c r="C31" s="231"/>
      <c r="D31" s="231"/>
      <c r="E31" s="231"/>
      <c r="F31" s="231"/>
      <c r="G31" s="231"/>
      <c r="H31" s="231"/>
      <c r="I31" s="231"/>
    </row>
    <row r="32" spans="1:9" ht="21.75">
      <c r="A32" s="235"/>
      <c r="B32" s="287" t="s">
        <v>113</v>
      </c>
      <c r="C32" s="159">
        <v>380</v>
      </c>
      <c r="D32" s="185" t="s">
        <v>181</v>
      </c>
      <c r="E32" s="159">
        <v>14.5</v>
      </c>
      <c r="F32" s="159">
        <f>+C32*E32</f>
        <v>5510</v>
      </c>
      <c r="G32" s="159">
        <v>8</v>
      </c>
      <c r="H32" s="159">
        <f>+G32*C32</f>
        <v>3040</v>
      </c>
      <c r="I32" s="159">
        <f>+F32+H32</f>
        <v>8550</v>
      </c>
    </row>
    <row r="33" spans="1:9" ht="21.75">
      <c r="A33" s="235"/>
      <c r="B33" s="287" t="s">
        <v>114</v>
      </c>
      <c r="C33" s="159">
        <v>95</v>
      </c>
      <c r="D33" s="185" t="s">
        <v>181</v>
      </c>
      <c r="E33" s="159">
        <v>9.5</v>
      </c>
      <c r="F33" s="159">
        <f>C33*E33</f>
        <v>902.5</v>
      </c>
      <c r="G33" s="159">
        <v>6</v>
      </c>
      <c r="H33" s="159">
        <f>+G33*C33</f>
        <v>570</v>
      </c>
      <c r="I33" s="159">
        <f>+F33+H33</f>
        <v>1472.5</v>
      </c>
    </row>
    <row r="34" spans="1:9" ht="21.75">
      <c r="A34" s="349"/>
      <c r="B34" s="285" t="s">
        <v>115</v>
      </c>
      <c r="C34" s="199">
        <v>76</v>
      </c>
      <c r="D34" s="200" t="s">
        <v>181</v>
      </c>
      <c r="E34" s="199">
        <v>38</v>
      </c>
      <c r="F34" s="199">
        <f>C34*E34</f>
        <v>2888</v>
      </c>
      <c r="G34" s="199">
        <v>12</v>
      </c>
      <c r="H34" s="199">
        <f>+G34*C34</f>
        <v>912</v>
      </c>
      <c r="I34" s="199">
        <f>+F34+H34</f>
        <v>3800</v>
      </c>
    </row>
    <row r="35" spans="1:9" ht="21.75">
      <c r="A35" s="353"/>
      <c r="B35" s="286" t="s">
        <v>470</v>
      </c>
      <c r="C35" s="201">
        <v>1</v>
      </c>
      <c r="D35" s="202" t="s">
        <v>76</v>
      </c>
      <c r="E35" s="201">
        <v>1010.8</v>
      </c>
      <c r="F35" s="201">
        <f>C35*E35</f>
        <v>1010.8</v>
      </c>
      <c r="G35" s="201">
        <v>565.25</v>
      </c>
      <c r="H35" s="201">
        <f>+G35*C35</f>
        <v>565.25</v>
      </c>
      <c r="I35" s="201">
        <f>+F35+H35</f>
        <v>1576.05</v>
      </c>
    </row>
    <row r="36" spans="1:9" ht="43.5">
      <c r="A36" s="235"/>
      <c r="B36" s="437" t="s">
        <v>208</v>
      </c>
      <c r="C36" s="372"/>
      <c r="D36" s="372"/>
      <c r="E36" s="372"/>
      <c r="F36" s="438">
        <f>SUM(F32:F35)</f>
        <v>10311.3</v>
      </c>
      <c r="G36" s="372"/>
      <c r="H36" s="438">
        <f>SUM(H32:H35)</f>
        <v>5087.25</v>
      </c>
      <c r="I36" s="438">
        <f>SUM(I32:I35)</f>
        <v>15398.55</v>
      </c>
    </row>
    <row r="37" spans="1:9" ht="21.75">
      <c r="A37" s="324">
        <v>6.05</v>
      </c>
      <c r="B37" s="230" t="s">
        <v>228</v>
      </c>
      <c r="C37" s="231"/>
      <c r="D37" s="231"/>
      <c r="E37" s="231"/>
      <c r="F37" s="231"/>
      <c r="G37" s="231"/>
      <c r="H37" s="231"/>
      <c r="I37" s="231"/>
    </row>
    <row r="38" spans="1:10" ht="21.75">
      <c r="A38" s="324"/>
      <c r="B38" s="287" t="s">
        <v>117</v>
      </c>
      <c r="C38" s="159">
        <v>1</v>
      </c>
      <c r="D38" s="185" t="s">
        <v>75</v>
      </c>
      <c r="E38" s="159">
        <v>450</v>
      </c>
      <c r="F38" s="159">
        <f>+C38*E38</f>
        <v>450</v>
      </c>
      <c r="G38" s="159">
        <v>200</v>
      </c>
      <c r="H38" s="159">
        <f>+G38*C38</f>
        <v>200</v>
      </c>
      <c r="I38" s="159">
        <f>+F38+H38</f>
        <v>650</v>
      </c>
      <c r="J38" s="439"/>
    </row>
    <row r="39" spans="1:10" ht="21.75">
      <c r="A39" s="327"/>
      <c r="B39" s="287" t="s">
        <v>118</v>
      </c>
      <c r="C39" s="159">
        <v>130</v>
      </c>
      <c r="D39" s="185" t="s">
        <v>79</v>
      </c>
      <c r="E39" s="159">
        <v>14.5</v>
      </c>
      <c r="F39" s="159">
        <f>+C39*E39</f>
        <v>1885</v>
      </c>
      <c r="G39" s="159">
        <v>8</v>
      </c>
      <c r="H39" s="159">
        <f>+G39*C39</f>
        <v>1040</v>
      </c>
      <c r="I39" s="159">
        <f>+F39+H39</f>
        <v>2925</v>
      </c>
      <c r="J39" s="439"/>
    </row>
    <row r="40" spans="1:9" ht="21.75" customHeight="1">
      <c r="A40" s="327"/>
      <c r="B40" s="287" t="s">
        <v>119</v>
      </c>
      <c r="C40" s="159">
        <v>65</v>
      </c>
      <c r="D40" s="185" t="s">
        <v>79</v>
      </c>
      <c r="E40" s="159">
        <v>9.5</v>
      </c>
      <c r="F40" s="159">
        <f>+C40*E40</f>
        <v>617.5</v>
      </c>
      <c r="G40" s="159">
        <v>6</v>
      </c>
      <c r="H40" s="159">
        <f>+G40*C40</f>
        <v>390</v>
      </c>
      <c r="I40" s="159">
        <f>+F40+H40</f>
        <v>1007.5</v>
      </c>
    </row>
    <row r="41" spans="1:9" ht="21.75">
      <c r="A41" s="327"/>
      <c r="B41" s="287" t="s">
        <v>120</v>
      </c>
      <c r="C41" s="159">
        <v>55</v>
      </c>
      <c r="D41" s="185" t="s">
        <v>79</v>
      </c>
      <c r="E41" s="159">
        <v>38</v>
      </c>
      <c r="F41" s="159">
        <f>+C41*E41</f>
        <v>2090</v>
      </c>
      <c r="G41" s="159">
        <v>12</v>
      </c>
      <c r="H41" s="159">
        <f>+G41*C41</f>
        <v>660</v>
      </c>
      <c r="I41" s="159">
        <f>+F41+H41</f>
        <v>2750</v>
      </c>
    </row>
    <row r="42" spans="1:9" ht="21.75">
      <c r="A42" s="327"/>
      <c r="B42" s="287" t="s">
        <v>470</v>
      </c>
      <c r="C42" s="159">
        <v>1</v>
      </c>
      <c r="D42" s="185" t="s">
        <v>3</v>
      </c>
      <c r="E42" s="159">
        <v>731.5</v>
      </c>
      <c r="F42" s="159">
        <f>+C42*E42</f>
        <v>731.5</v>
      </c>
      <c r="G42" s="159">
        <v>572.5</v>
      </c>
      <c r="H42" s="159">
        <f>+G42*C42</f>
        <v>572.5</v>
      </c>
      <c r="I42" s="159">
        <f>+F42+H42</f>
        <v>1304</v>
      </c>
    </row>
    <row r="43" spans="1:9" ht="21.75">
      <c r="A43" s="336"/>
      <c r="B43" s="434" t="s">
        <v>218</v>
      </c>
      <c r="C43" s="231"/>
      <c r="D43" s="231"/>
      <c r="E43" s="231"/>
      <c r="F43" s="435">
        <f>SUM(F38:F42)</f>
        <v>5774</v>
      </c>
      <c r="G43" s="231"/>
      <c r="H43" s="435">
        <f>SUM(H38:H42)</f>
        <v>2862.5</v>
      </c>
      <c r="I43" s="435">
        <f>SUM(I38:I42)</f>
        <v>8636.5</v>
      </c>
    </row>
    <row r="44" spans="1:9" ht="43.5">
      <c r="A44" s="324">
        <v>6.06</v>
      </c>
      <c r="B44" s="325" t="s">
        <v>221</v>
      </c>
      <c r="C44" s="231"/>
      <c r="D44" s="231"/>
      <c r="E44" s="231"/>
      <c r="F44" s="231"/>
      <c r="G44" s="231"/>
      <c r="H44" s="231"/>
      <c r="I44" s="231"/>
    </row>
    <row r="45" spans="1:10" ht="21.75">
      <c r="A45" s="327"/>
      <c r="B45" s="287" t="s">
        <v>121</v>
      </c>
      <c r="C45" s="159">
        <v>1410</v>
      </c>
      <c r="D45" s="185" t="s">
        <v>181</v>
      </c>
      <c r="E45" s="159">
        <v>9.5</v>
      </c>
      <c r="F45" s="159">
        <f>+C45*E45</f>
        <v>13395</v>
      </c>
      <c r="G45" s="159">
        <v>6</v>
      </c>
      <c r="H45" s="159">
        <f>+G45*C45</f>
        <v>8460</v>
      </c>
      <c r="I45" s="159">
        <f>+F45+H45</f>
        <v>21855</v>
      </c>
      <c r="J45" s="439"/>
    </row>
    <row r="46" spans="1:11" ht="21.75" customHeight="1">
      <c r="A46" s="167"/>
      <c r="B46" s="287" t="s">
        <v>122</v>
      </c>
      <c r="C46" s="159">
        <v>728</v>
      </c>
      <c r="D46" s="185" t="s">
        <v>181</v>
      </c>
      <c r="E46" s="159">
        <v>25</v>
      </c>
      <c r="F46" s="159">
        <f>+C46*E46</f>
        <v>18200</v>
      </c>
      <c r="G46" s="159">
        <v>10</v>
      </c>
      <c r="H46" s="159">
        <f>+G46*C46</f>
        <v>7280</v>
      </c>
      <c r="I46" s="159">
        <f>+F46+H46</f>
        <v>25480</v>
      </c>
      <c r="J46" s="439"/>
      <c r="K46" s="345"/>
    </row>
    <row r="47" spans="1:11" ht="21.75" customHeight="1">
      <c r="A47" s="167"/>
      <c r="B47" s="287" t="s">
        <v>123</v>
      </c>
      <c r="C47" s="159">
        <v>35</v>
      </c>
      <c r="D47" s="185" t="s">
        <v>181</v>
      </c>
      <c r="E47" s="159">
        <v>38</v>
      </c>
      <c r="F47" s="159">
        <f>+C47*E47</f>
        <v>1330</v>
      </c>
      <c r="G47" s="159">
        <v>12</v>
      </c>
      <c r="H47" s="159">
        <f>+G47*C47</f>
        <v>420</v>
      </c>
      <c r="I47" s="159">
        <f>+F47+H47</f>
        <v>1750</v>
      </c>
      <c r="J47" s="439"/>
      <c r="K47" s="345"/>
    </row>
    <row r="48" spans="1:9" ht="21.75">
      <c r="A48" s="332"/>
      <c r="B48" s="285" t="s">
        <v>470</v>
      </c>
      <c r="C48" s="199">
        <v>1</v>
      </c>
      <c r="D48" s="200" t="s">
        <v>76</v>
      </c>
      <c r="E48" s="199">
        <v>6835.5</v>
      </c>
      <c r="F48" s="199">
        <f>+C48*E48</f>
        <v>6835.5</v>
      </c>
      <c r="G48" s="199">
        <v>2725</v>
      </c>
      <c r="H48" s="199">
        <f>+G48*C48</f>
        <v>2725</v>
      </c>
      <c r="I48" s="199">
        <f>+F48+H48</f>
        <v>9560.5</v>
      </c>
    </row>
    <row r="49" spans="1:9" ht="43.5">
      <c r="A49" s="363"/>
      <c r="B49" s="440" t="s">
        <v>209</v>
      </c>
      <c r="C49" s="335"/>
      <c r="D49" s="335"/>
      <c r="E49" s="335"/>
      <c r="F49" s="441">
        <f>SUM(F45:F48)</f>
        <v>39760.5</v>
      </c>
      <c r="G49" s="384"/>
      <c r="H49" s="441">
        <f>SUM(H45:H48)</f>
        <v>18885</v>
      </c>
      <c r="I49" s="441">
        <f>SUM(I45:I48)</f>
        <v>58645.5</v>
      </c>
    </row>
    <row r="50" spans="1:10" ht="43.5">
      <c r="A50" s="324">
        <v>6.06</v>
      </c>
      <c r="B50" s="325" t="s">
        <v>222</v>
      </c>
      <c r="C50" s="231"/>
      <c r="D50" s="231"/>
      <c r="E50" s="231"/>
      <c r="F50" s="159"/>
      <c r="G50" s="231"/>
      <c r="H50" s="231"/>
      <c r="I50" s="231"/>
      <c r="J50" s="442"/>
    </row>
    <row r="51" spans="1:11" ht="21.75">
      <c r="A51" s="324"/>
      <c r="B51" s="287" t="s">
        <v>124</v>
      </c>
      <c r="C51" s="159">
        <v>280</v>
      </c>
      <c r="D51" s="185" t="s">
        <v>181</v>
      </c>
      <c r="E51" s="159">
        <v>23</v>
      </c>
      <c r="F51" s="159">
        <f>+C51*E51</f>
        <v>6440</v>
      </c>
      <c r="G51" s="159">
        <v>10</v>
      </c>
      <c r="H51" s="159">
        <f>+G51*C51</f>
        <v>2800</v>
      </c>
      <c r="I51" s="159">
        <f>+F51+H51</f>
        <v>9240</v>
      </c>
      <c r="J51" s="439"/>
      <c r="K51" s="345"/>
    </row>
    <row r="52" spans="1:9" ht="21.75">
      <c r="A52" s="327"/>
      <c r="B52" s="287" t="s">
        <v>125</v>
      </c>
      <c r="C52" s="159">
        <v>70</v>
      </c>
      <c r="D52" s="185" t="s">
        <v>181</v>
      </c>
      <c r="E52" s="159">
        <v>9.5</v>
      </c>
      <c r="F52" s="159">
        <f>+C52*E52</f>
        <v>665</v>
      </c>
      <c r="G52" s="159">
        <v>6</v>
      </c>
      <c r="H52" s="159">
        <f>+G52*C52</f>
        <v>420</v>
      </c>
      <c r="I52" s="159">
        <f>+F52+H52</f>
        <v>1085</v>
      </c>
    </row>
    <row r="53" spans="1:9" ht="21.75">
      <c r="A53" s="327"/>
      <c r="B53" s="287" t="s">
        <v>126</v>
      </c>
      <c r="C53" s="159">
        <v>66</v>
      </c>
      <c r="D53" s="185" t="s">
        <v>181</v>
      </c>
      <c r="E53" s="159">
        <v>54</v>
      </c>
      <c r="F53" s="159">
        <f>+C53*E53</f>
        <v>3564</v>
      </c>
      <c r="G53" s="159">
        <v>16</v>
      </c>
      <c r="H53" s="159">
        <f>+G53*C53</f>
        <v>1056</v>
      </c>
      <c r="I53" s="159">
        <f>+F53+H53</f>
        <v>4620</v>
      </c>
    </row>
    <row r="54" spans="1:9" ht="21.75" customHeight="1">
      <c r="A54" s="327"/>
      <c r="B54" s="287" t="s">
        <v>470</v>
      </c>
      <c r="C54" s="159">
        <v>1</v>
      </c>
      <c r="D54" s="185" t="s">
        <v>76</v>
      </c>
      <c r="E54" s="159">
        <v>1247.4</v>
      </c>
      <c r="F54" s="159">
        <f>+C54*E54</f>
        <v>1247.4</v>
      </c>
      <c r="G54" s="159">
        <v>501.5</v>
      </c>
      <c r="H54" s="159">
        <f>+G54*C54</f>
        <v>501.5</v>
      </c>
      <c r="I54" s="159">
        <f>+F54+H54</f>
        <v>1748.9</v>
      </c>
    </row>
    <row r="55" spans="1:9" ht="43.5">
      <c r="A55" s="327"/>
      <c r="B55" s="437" t="s">
        <v>210</v>
      </c>
      <c r="C55" s="372"/>
      <c r="D55" s="372"/>
      <c r="E55" s="372"/>
      <c r="F55" s="438">
        <f>SUM(F51:F54)</f>
        <v>11916.4</v>
      </c>
      <c r="G55" s="372"/>
      <c r="H55" s="438">
        <f>SUM(H51:H54)</f>
        <v>4777.5</v>
      </c>
      <c r="I55" s="438">
        <f>SUM(I51:I54)</f>
        <v>16693.9</v>
      </c>
    </row>
    <row r="56" spans="1:11" ht="21.75">
      <c r="A56" s="336">
        <v>6.07</v>
      </c>
      <c r="B56" s="230" t="s">
        <v>223</v>
      </c>
      <c r="C56" s="231"/>
      <c r="D56" s="231"/>
      <c r="E56" s="231"/>
      <c r="F56" s="159"/>
      <c r="G56" s="231"/>
      <c r="H56" s="231"/>
      <c r="I56" s="231"/>
      <c r="J56" s="439"/>
      <c r="K56" s="345"/>
    </row>
    <row r="57" spans="1:10" ht="21.75">
      <c r="A57" s="336"/>
      <c r="B57" s="287" t="s">
        <v>127</v>
      </c>
      <c r="C57" s="159">
        <v>380</v>
      </c>
      <c r="D57" s="185" t="s">
        <v>181</v>
      </c>
      <c r="E57" s="159">
        <v>23</v>
      </c>
      <c r="F57" s="159">
        <f>C57*E57</f>
        <v>8740</v>
      </c>
      <c r="G57" s="159">
        <v>12</v>
      </c>
      <c r="H57" s="159">
        <f>G57*C57</f>
        <v>4560</v>
      </c>
      <c r="I57" s="159">
        <f>+F57+H57</f>
        <v>13300</v>
      </c>
      <c r="J57" s="439"/>
    </row>
    <row r="58" spans="1:9" ht="21.75">
      <c r="A58" s="167"/>
      <c r="B58" s="287" t="s">
        <v>128</v>
      </c>
      <c r="C58" s="159">
        <v>95</v>
      </c>
      <c r="D58" s="185" t="s">
        <v>181</v>
      </c>
      <c r="E58" s="159">
        <v>14.5</v>
      </c>
      <c r="F58" s="159">
        <f>C58*E58</f>
        <v>1377.5</v>
      </c>
      <c r="G58" s="159">
        <v>8</v>
      </c>
      <c r="H58" s="159">
        <f>G58*C58</f>
        <v>760</v>
      </c>
      <c r="I58" s="159">
        <f>+F58+H58</f>
        <v>2137.5</v>
      </c>
    </row>
    <row r="59" spans="1:9" ht="21.75">
      <c r="A59" s="167"/>
      <c r="B59" s="287" t="s">
        <v>129</v>
      </c>
      <c r="C59" s="159">
        <v>75</v>
      </c>
      <c r="D59" s="185" t="s">
        <v>181</v>
      </c>
      <c r="E59" s="159">
        <v>54</v>
      </c>
      <c r="F59" s="159">
        <f>C59*E59</f>
        <v>4050</v>
      </c>
      <c r="G59" s="159">
        <v>16</v>
      </c>
      <c r="H59" s="159">
        <f>G59*C59</f>
        <v>1200</v>
      </c>
      <c r="I59" s="159">
        <f>+F59+H59</f>
        <v>5250</v>
      </c>
    </row>
    <row r="60" spans="1:9" ht="21.75">
      <c r="A60" s="167"/>
      <c r="B60" s="287" t="s">
        <v>470</v>
      </c>
      <c r="C60" s="159">
        <v>1</v>
      </c>
      <c r="D60" s="185" t="s">
        <v>76</v>
      </c>
      <c r="E60" s="159">
        <f>1417.5</f>
        <v>1417.5</v>
      </c>
      <c r="F60" s="159">
        <f>C60*E60</f>
        <v>1417.5</v>
      </c>
      <c r="G60" s="159">
        <v>815</v>
      </c>
      <c r="H60" s="159">
        <f>G60*C60</f>
        <v>815</v>
      </c>
      <c r="I60" s="159">
        <f>+F60+H60</f>
        <v>2232.5</v>
      </c>
    </row>
    <row r="61" spans="1:9" ht="21.75">
      <c r="A61" s="332"/>
      <c r="B61" s="443" t="s">
        <v>211</v>
      </c>
      <c r="C61" s="369"/>
      <c r="D61" s="369"/>
      <c r="E61" s="369"/>
      <c r="F61" s="423">
        <f>SUM(F57:F60)</f>
        <v>15585</v>
      </c>
      <c r="G61" s="369"/>
      <c r="H61" s="423">
        <f>SUM(H57:H60)</f>
        <v>7335</v>
      </c>
      <c r="I61" s="423">
        <f>SUM(I57:I60)</f>
        <v>22920</v>
      </c>
    </row>
    <row r="62" spans="1:10" ht="21.75">
      <c r="A62" s="444">
        <v>6.08</v>
      </c>
      <c r="B62" s="323" t="s">
        <v>224</v>
      </c>
      <c r="C62" s="335"/>
      <c r="D62" s="335"/>
      <c r="E62" s="335"/>
      <c r="F62" s="201"/>
      <c r="G62" s="335"/>
      <c r="H62" s="335"/>
      <c r="I62" s="335"/>
      <c r="J62" s="439"/>
    </row>
    <row r="63" spans="1:11" ht="21.75">
      <c r="A63" s="235"/>
      <c r="B63" s="287" t="s">
        <v>130</v>
      </c>
      <c r="C63" s="159">
        <v>220</v>
      </c>
      <c r="D63" s="185" t="s">
        <v>181</v>
      </c>
      <c r="E63" s="159">
        <v>91</v>
      </c>
      <c r="F63" s="159">
        <f>C63*E63</f>
        <v>20020</v>
      </c>
      <c r="G63" s="159">
        <v>45</v>
      </c>
      <c r="H63" s="159">
        <f>+G63*C63</f>
        <v>9900</v>
      </c>
      <c r="I63" s="159">
        <f>+F63+H63</f>
        <v>29920</v>
      </c>
      <c r="J63" s="439"/>
      <c r="K63" s="345"/>
    </row>
    <row r="64" spans="1:11" ht="21.75">
      <c r="A64" s="324"/>
      <c r="B64" s="287" t="s">
        <v>131</v>
      </c>
      <c r="C64" s="159">
        <v>55</v>
      </c>
      <c r="D64" s="185" t="s">
        <v>181</v>
      </c>
      <c r="E64" s="159">
        <v>38</v>
      </c>
      <c r="F64" s="159">
        <f>C64*E64</f>
        <v>2090</v>
      </c>
      <c r="G64" s="159">
        <v>19</v>
      </c>
      <c r="H64" s="159">
        <f>+G64*C64</f>
        <v>1045</v>
      </c>
      <c r="I64" s="159">
        <f>+F64+H64</f>
        <v>3135</v>
      </c>
      <c r="J64" s="439"/>
      <c r="K64" s="345"/>
    </row>
    <row r="65" spans="1:9" ht="21.75">
      <c r="A65" s="327"/>
      <c r="B65" s="287" t="s">
        <v>132</v>
      </c>
      <c r="C65" s="159">
        <v>50</v>
      </c>
      <c r="D65" s="185" t="s">
        <v>181</v>
      </c>
      <c r="E65" s="159">
        <v>135</v>
      </c>
      <c r="F65" s="159">
        <f>C65*E65</f>
        <v>6750</v>
      </c>
      <c r="G65" s="159">
        <v>60</v>
      </c>
      <c r="H65" s="159">
        <f>+G65*C65</f>
        <v>3000</v>
      </c>
      <c r="I65" s="159">
        <f>+F65+H65</f>
        <v>9750</v>
      </c>
    </row>
    <row r="66" spans="1:9" ht="21.75">
      <c r="A66" s="327"/>
      <c r="B66" s="287" t="s">
        <v>470</v>
      </c>
      <c r="C66" s="159">
        <v>1</v>
      </c>
      <c r="D66" s="185" t="s">
        <v>76</v>
      </c>
      <c r="E66" s="159">
        <v>2362.5</v>
      </c>
      <c r="F66" s="159">
        <f>C66*E66</f>
        <v>2362.5</v>
      </c>
      <c r="G66" s="159">
        <v>3486</v>
      </c>
      <c r="H66" s="159">
        <f>+G66*C66</f>
        <v>3486</v>
      </c>
      <c r="I66" s="159">
        <f>+F66+H66</f>
        <v>5848.5</v>
      </c>
    </row>
    <row r="67" spans="1:9" ht="21.75">
      <c r="A67" s="327"/>
      <c r="B67" s="445" t="s">
        <v>212</v>
      </c>
      <c r="C67" s="231"/>
      <c r="D67" s="231"/>
      <c r="E67" s="231"/>
      <c r="F67" s="435">
        <f>SUM(F63:F66)</f>
        <v>31222.5</v>
      </c>
      <c r="G67" s="231"/>
      <c r="H67" s="435">
        <f>SUM(H63:H66)</f>
        <v>17431</v>
      </c>
      <c r="I67" s="435">
        <f>SUM(I63:I66)</f>
        <v>48653.5</v>
      </c>
    </row>
    <row r="68" spans="1:10" ht="21.75">
      <c r="A68" s="336">
        <v>6.09</v>
      </c>
      <c r="B68" s="230" t="s">
        <v>225</v>
      </c>
      <c r="C68" s="231"/>
      <c r="D68" s="231"/>
      <c r="E68" s="231"/>
      <c r="F68" s="159"/>
      <c r="G68" s="231"/>
      <c r="H68" s="231"/>
      <c r="I68" s="231"/>
      <c r="J68" s="439"/>
    </row>
    <row r="69" spans="1:10" ht="21.75">
      <c r="A69" s="336"/>
      <c r="B69" s="287" t="s">
        <v>113</v>
      </c>
      <c r="C69" s="159">
        <v>228</v>
      </c>
      <c r="D69" s="185" t="s">
        <v>181</v>
      </c>
      <c r="E69" s="159">
        <v>14.5</v>
      </c>
      <c r="F69" s="159">
        <f>+C69*E69</f>
        <v>3306</v>
      </c>
      <c r="G69" s="159">
        <v>8</v>
      </c>
      <c r="H69" s="159">
        <f>G69*C69</f>
        <v>1824</v>
      </c>
      <c r="I69" s="159">
        <f>+F69+H69</f>
        <v>5130</v>
      </c>
      <c r="J69" s="439"/>
    </row>
    <row r="70" spans="1:9" ht="21.75" customHeight="1">
      <c r="A70" s="324"/>
      <c r="B70" s="287" t="s">
        <v>133</v>
      </c>
      <c r="C70" s="159">
        <v>57</v>
      </c>
      <c r="D70" s="185" t="s">
        <v>181</v>
      </c>
      <c r="E70" s="159">
        <v>9.5</v>
      </c>
      <c r="F70" s="159">
        <f>+C70*E70</f>
        <v>541.5</v>
      </c>
      <c r="G70" s="159">
        <v>6</v>
      </c>
      <c r="H70" s="159">
        <f>G70*C70</f>
        <v>342</v>
      </c>
      <c r="I70" s="159">
        <f>+F70+H70</f>
        <v>883.5</v>
      </c>
    </row>
    <row r="71" spans="1:9" ht="21.75" customHeight="1">
      <c r="A71" s="167"/>
      <c r="B71" s="287" t="s">
        <v>115</v>
      </c>
      <c r="C71" s="159">
        <v>45</v>
      </c>
      <c r="D71" s="185" t="s">
        <v>181</v>
      </c>
      <c r="E71" s="159">
        <v>38</v>
      </c>
      <c r="F71" s="159">
        <f>+C71*E71</f>
        <v>1710</v>
      </c>
      <c r="G71" s="159">
        <v>12</v>
      </c>
      <c r="H71" s="159">
        <f>G71*C71</f>
        <v>540</v>
      </c>
      <c r="I71" s="159">
        <f>+F71+H71</f>
        <v>2250</v>
      </c>
    </row>
    <row r="72" spans="1:9" ht="21.75" customHeight="1">
      <c r="A72" s="167"/>
      <c r="B72" s="287" t="s">
        <v>470</v>
      </c>
      <c r="C72" s="159">
        <v>1</v>
      </c>
      <c r="D72" s="185" t="s">
        <v>76</v>
      </c>
      <c r="E72" s="159">
        <v>598.5</v>
      </c>
      <c r="F72" s="159">
        <f>+C72*E72</f>
        <v>598.5</v>
      </c>
      <c r="G72" s="159">
        <v>338.25</v>
      </c>
      <c r="H72" s="159">
        <f>G72*C72</f>
        <v>338.25</v>
      </c>
      <c r="I72" s="159">
        <f>+F72+H72</f>
        <v>936.75</v>
      </c>
    </row>
    <row r="73" spans="1:9" ht="21.75" customHeight="1">
      <c r="A73" s="167"/>
      <c r="B73" s="287" t="s">
        <v>134</v>
      </c>
      <c r="C73" s="159">
        <v>1</v>
      </c>
      <c r="D73" s="185" t="s">
        <v>75</v>
      </c>
      <c r="E73" s="159">
        <v>1450</v>
      </c>
      <c r="F73" s="159">
        <f>+C73*E73</f>
        <v>1450</v>
      </c>
      <c r="G73" s="159">
        <v>350</v>
      </c>
      <c r="H73" s="159">
        <f>G73*C73</f>
        <v>350</v>
      </c>
      <c r="I73" s="159">
        <f>+F73+H73</f>
        <v>1800</v>
      </c>
    </row>
    <row r="74" spans="1:9" ht="21.75" customHeight="1">
      <c r="A74" s="446"/>
      <c r="B74" s="445" t="s">
        <v>226</v>
      </c>
      <c r="C74" s="231"/>
      <c r="D74" s="231"/>
      <c r="E74" s="231"/>
      <c r="F74" s="435">
        <f>SUM(F69:F73)</f>
        <v>7606</v>
      </c>
      <c r="G74" s="231"/>
      <c r="H74" s="435">
        <f>SUM(H69:H73)</f>
        <v>3394.25</v>
      </c>
      <c r="I74" s="435">
        <f>SUM(I69:I73)</f>
        <v>11000.25</v>
      </c>
    </row>
    <row r="75" spans="1:11" ht="21.75" customHeight="1">
      <c r="A75" s="446">
        <v>6.1</v>
      </c>
      <c r="B75" s="445" t="s">
        <v>498</v>
      </c>
      <c r="C75" s="231"/>
      <c r="D75" s="231"/>
      <c r="E75" s="231"/>
      <c r="F75" s="435"/>
      <c r="G75" s="231"/>
      <c r="H75" s="435"/>
      <c r="I75" s="435"/>
      <c r="J75" s="315"/>
      <c r="K75" s="315"/>
    </row>
    <row r="76" spans="1:11" ht="21.75" customHeight="1">
      <c r="A76" s="446"/>
      <c r="B76" s="277" t="s">
        <v>499</v>
      </c>
      <c r="C76" s="447">
        <v>392</v>
      </c>
      <c r="D76" s="167" t="s">
        <v>500</v>
      </c>
      <c r="E76" s="327" t="s">
        <v>61</v>
      </c>
      <c r="F76" s="448">
        <v>0</v>
      </c>
      <c r="G76" s="449">
        <v>135</v>
      </c>
      <c r="H76" s="450">
        <f>G76*C76</f>
        <v>52920</v>
      </c>
      <c r="I76" s="450">
        <f>H76</f>
        <v>52920</v>
      </c>
      <c r="J76" s="315"/>
      <c r="K76" s="315"/>
    </row>
    <row r="77" spans="1:10" ht="21.75" customHeight="1">
      <c r="A77" s="327"/>
      <c r="B77" s="277" t="s">
        <v>501</v>
      </c>
      <c r="C77" s="447">
        <v>34</v>
      </c>
      <c r="D77" s="167" t="s">
        <v>75</v>
      </c>
      <c r="E77" s="382">
        <v>240</v>
      </c>
      <c r="F77" s="451">
        <f>E77*C77</f>
        <v>8160</v>
      </c>
      <c r="G77" s="382">
        <v>115</v>
      </c>
      <c r="H77" s="451">
        <f>G77*C77</f>
        <v>3910</v>
      </c>
      <c r="I77" s="451">
        <f>F77+H77</f>
        <v>12070</v>
      </c>
      <c r="J77" s="439"/>
    </row>
    <row r="78" spans="1:9" ht="21.75" customHeight="1">
      <c r="A78" s="331"/>
      <c r="B78" s="452" t="s">
        <v>502</v>
      </c>
      <c r="C78" s="349"/>
      <c r="D78" s="349"/>
      <c r="E78" s="349"/>
      <c r="F78" s="423">
        <f>SUM(F76:F77)</f>
        <v>8160</v>
      </c>
      <c r="G78" s="349" t="s">
        <v>61</v>
      </c>
      <c r="H78" s="423">
        <f>SUM(H76:H77)</f>
        <v>56830</v>
      </c>
      <c r="I78" s="423">
        <f>SUM(I76:I77)</f>
        <v>64990</v>
      </c>
    </row>
    <row r="79" spans="1:9" ht="21.75" customHeight="1">
      <c r="A79" s="444">
        <v>6.11</v>
      </c>
      <c r="B79" s="453" t="s">
        <v>503</v>
      </c>
      <c r="C79" s="353"/>
      <c r="D79" s="353"/>
      <c r="E79" s="353"/>
      <c r="F79" s="454"/>
      <c r="G79" s="353"/>
      <c r="H79" s="454"/>
      <c r="I79" s="454"/>
    </row>
    <row r="80" spans="1:9" ht="21.75" customHeight="1">
      <c r="A80" s="336"/>
      <c r="B80" s="455" t="s">
        <v>499</v>
      </c>
      <c r="C80" s="167">
        <v>31</v>
      </c>
      <c r="D80" s="167" t="s">
        <v>500</v>
      </c>
      <c r="E80" s="327" t="s">
        <v>61</v>
      </c>
      <c r="F80" s="448">
        <v>0</v>
      </c>
      <c r="G80" s="449">
        <v>135</v>
      </c>
      <c r="H80" s="450">
        <f>G80*C80</f>
        <v>4185</v>
      </c>
      <c r="I80" s="450">
        <f>F80+H80</f>
        <v>4185</v>
      </c>
    </row>
    <row r="81" spans="1:9" ht="21.75" customHeight="1">
      <c r="A81" s="336"/>
      <c r="B81" s="455" t="s">
        <v>501</v>
      </c>
      <c r="C81" s="167">
        <v>10</v>
      </c>
      <c r="D81" s="167" t="s">
        <v>75</v>
      </c>
      <c r="E81" s="382">
        <v>240</v>
      </c>
      <c r="F81" s="451">
        <f>E81*C81</f>
        <v>2400</v>
      </c>
      <c r="G81" s="382">
        <v>115</v>
      </c>
      <c r="H81" s="451">
        <f>G81*C81</f>
        <v>1150</v>
      </c>
      <c r="I81" s="451">
        <f>F81+H81</f>
        <v>3550</v>
      </c>
    </row>
    <row r="82" spans="1:9" ht="21.75" customHeight="1">
      <c r="A82" s="327"/>
      <c r="B82" s="455" t="s">
        <v>504</v>
      </c>
      <c r="C82" s="167">
        <v>5</v>
      </c>
      <c r="D82" s="185" t="s">
        <v>75</v>
      </c>
      <c r="E82" s="159">
        <v>52</v>
      </c>
      <c r="F82" s="159">
        <f>C82*E82</f>
        <v>260</v>
      </c>
      <c r="G82" s="159">
        <v>47</v>
      </c>
      <c r="H82" s="159">
        <f>G82*C82</f>
        <v>235</v>
      </c>
      <c r="I82" s="159">
        <f>F82+H82</f>
        <v>495</v>
      </c>
    </row>
    <row r="83" spans="1:9" ht="21.75">
      <c r="A83" s="327"/>
      <c r="B83" s="455" t="s">
        <v>744</v>
      </c>
      <c r="C83" s="159">
        <v>28</v>
      </c>
      <c r="D83" s="185" t="s">
        <v>181</v>
      </c>
      <c r="E83" s="159">
        <v>9.5</v>
      </c>
      <c r="F83" s="159">
        <f>C83*E83</f>
        <v>266</v>
      </c>
      <c r="G83" s="159">
        <v>6</v>
      </c>
      <c r="H83" s="159">
        <f>G83*C83</f>
        <v>168</v>
      </c>
      <c r="I83" s="159">
        <f>F83+H83</f>
        <v>434</v>
      </c>
    </row>
    <row r="84" spans="1:9" ht="21.75">
      <c r="A84" s="327"/>
      <c r="B84" s="396" t="s">
        <v>505</v>
      </c>
      <c r="C84" s="235"/>
      <c r="D84" s="235"/>
      <c r="E84" s="235"/>
      <c r="F84" s="435">
        <f>SUM(F80:F83)</f>
        <v>2926</v>
      </c>
      <c r="G84" s="235"/>
      <c r="H84" s="435">
        <f>SUM(H80:H83)</f>
        <v>5738</v>
      </c>
      <c r="I84" s="435">
        <f>SUM(I80:I83)</f>
        <v>8664</v>
      </c>
    </row>
    <row r="85" spans="1:9" ht="21.75">
      <c r="A85" s="327"/>
      <c r="B85" s="445"/>
      <c r="C85" s="235"/>
      <c r="D85" s="235"/>
      <c r="E85" s="235"/>
      <c r="F85" s="435"/>
      <c r="G85" s="235"/>
      <c r="H85" s="435"/>
      <c r="I85" s="435"/>
    </row>
    <row r="86" spans="1:9" ht="21.75">
      <c r="A86" s="225"/>
      <c r="B86" s="421" t="s">
        <v>213</v>
      </c>
      <c r="C86" s="369"/>
      <c r="D86" s="369"/>
      <c r="E86" s="369"/>
      <c r="F86" s="423">
        <f>F17+F23+F30+F36+F43+F49+F55+F61+F67+F74+F78+F84</f>
        <v>209278.19999999998</v>
      </c>
      <c r="G86" s="369"/>
      <c r="H86" s="423">
        <f>H17+H23+H30+H36+H43+H49+H55+H61+H67+H74+H78+H84</f>
        <v>177704.85</v>
      </c>
      <c r="I86" s="423">
        <f>I17+I23+I30+I36+I43+I49+I55+I61+I67+I74+I78+I84</f>
        <v>386983.05</v>
      </c>
    </row>
  </sheetData>
  <sheetProtection/>
  <mergeCells count="11">
    <mergeCell ref="I4:I5"/>
    <mergeCell ref="J4:J5"/>
    <mergeCell ref="A4:A5"/>
    <mergeCell ref="B4:B5"/>
    <mergeCell ref="C4:C5"/>
    <mergeCell ref="D4:D5"/>
    <mergeCell ref="B1:I1"/>
    <mergeCell ref="B2:I2"/>
    <mergeCell ref="B3:I3"/>
    <mergeCell ref="E4:F4"/>
    <mergeCell ref="G4:H4"/>
  </mergeCells>
  <printOptions/>
  <pageMargins left="0.2755905511811024" right="0.11811023622047245" top="0.984251968503937" bottom="0.984251968503937" header="0.3937007874015748" footer="0.5118110236220472"/>
  <pageSetup horizontalDpi="600" verticalDpi="600" orientation="landscape" paperSize="9" r:id="rId2"/>
  <headerFooter alignWithMargins="0">
    <oddHeader>&amp;L&amp;"TH Sarabun New,Regular"รายละเอียดบัญชีแสดงปริมาณวัสดุ แรงงาน และประมาณราคาค่าก่อสร้าง&amp;R&amp;"TH Sarabun New,Regular"ปร.4  &amp;P / &amp;N</oddHeader>
    <oddFooter>&amp;L&amp;"TH Sarabun New,Regular"&amp;12หมายเหตุ บัญชีปริมาณงานฉบับนี้ผู้เสนอราคาจะต้องตรวจสอบรายละเอียดจากแบบรูปรายการโดยละเอียดอีกครั้ง หากปรากฏภายหลังว่าบัญชีปริมาณงานกับแบบรูปรายการขัดแย้งกัน ให้ยึดตามแบบรูปรายการ หรือคำวินิจฉัยของผู้ว่าจ้าง</oddFooter>
  </headerFooter>
  <rowBreaks count="1" manualBreakCount="1">
    <brk id="61" max="8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K107"/>
  <sheetViews>
    <sheetView view="pageBreakPreview" zoomScale="89" zoomScaleSheetLayoutView="89" workbookViewId="0" topLeftCell="A7">
      <selection activeCell="J27" sqref="J27:J29"/>
    </sheetView>
  </sheetViews>
  <sheetFormatPr defaultColWidth="11.421875" defaultRowHeight="21.75"/>
  <cols>
    <col min="1" max="1" width="8.8515625" style="351" customWidth="1"/>
    <col min="2" max="2" width="58.8515625" style="321" customWidth="1"/>
    <col min="3" max="3" width="9.8515625" style="352" customWidth="1"/>
    <col min="4" max="4" width="9.8515625" style="351" customWidth="1"/>
    <col min="5" max="5" width="11.8515625" style="352" customWidth="1"/>
    <col min="6" max="6" width="13.8515625" style="352" customWidth="1"/>
    <col min="7" max="7" width="11.8515625" style="352" customWidth="1"/>
    <col min="8" max="8" width="13.8515625" style="352" customWidth="1"/>
    <col min="9" max="9" width="15.8515625" style="352" customWidth="1"/>
    <col min="10" max="10" width="20.421875" style="321" customWidth="1"/>
    <col min="11" max="11" width="17.7109375" style="321" customWidth="1"/>
    <col min="12" max="16384" width="11.421875" style="321" customWidth="1"/>
  </cols>
  <sheetData>
    <row r="1" spans="1:9" ht="21.75">
      <c r="A1" s="708" t="s">
        <v>18</v>
      </c>
      <c r="B1" s="709"/>
      <c r="C1" s="709"/>
      <c r="D1" s="709"/>
      <c r="E1" s="709"/>
      <c r="F1" s="709"/>
      <c r="G1" s="709"/>
      <c r="H1" s="709"/>
      <c r="I1" s="710"/>
    </row>
    <row r="2" spans="1:9" ht="21.75">
      <c r="A2" s="711" t="str">
        <f>(สรุป!A2)</f>
        <v>ปรับปรุงศูนย์เวชศาสตร์ฟื้นฟูและดูแลผู้สูงวัย</v>
      </c>
      <c r="B2" s="698"/>
      <c r="C2" s="698"/>
      <c r="D2" s="698"/>
      <c r="E2" s="698"/>
      <c r="F2" s="698"/>
      <c r="G2" s="698"/>
      <c r="H2" s="698"/>
      <c r="I2" s="712"/>
    </row>
    <row r="3" spans="1:9" ht="21.75">
      <c r="A3" s="731" t="str">
        <f>(สรุป!A3)</f>
        <v>มหาวิทยาลัยราชภัฏอุตรดิตถ์</v>
      </c>
      <c r="B3" s="731"/>
      <c r="C3" s="731"/>
      <c r="D3" s="731"/>
      <c r="E3" s="731"/>
      <c r="F3" s="731"/>
      <c r="G3" s="731"/>
      <c r="H3" s="731"/>
      <c r="I3" s="731"/>
    </row>
    <row r="4" spans="1:9" ht="21.75">
      <c r="A4" s="728" t="s">
        <v>0</v>
      </c>
      <c r="B4" s="729" t="s">
        <v>1</v>
      </c>
      <c r="C4" s="730" t="s">
        <v>2</v>
      </c>
      <c r="D4" s="728" t="s">
        <v>3</v>
      </c>
      <c r="E4" s="716" t="s">
        <v>4</v>
      </c>
      <c r="F4" s="717"/>
      <c r="G4" s="718" t="s">
        <v>5</v>
      </c>
      <c r="H4" s="717"/>
      <c r="I4" s="730" t="s">
        <v>6</v>
      </c>
    </row>
    <row r="5" spans="1:9" ht="21.75">
      <c r="A5" s="700"/>
      <c r="B5" s="702"/>
      <c r="C5" s="703"/>
      <c r="D5" s="700"/>
      <c r="E5" s="70" t="s">
        <v>7</v>
      </c>
      <c r="F5" s="70" t="s">
        <v>8</v>
      </c>
      <c r="G5" s="70" t="s">
        <v>7</v>
      </c>
      <c r="H5" s="70" t="s">
        <v>8</v>
      </c>
      <c r="I5" s="703"/>
    </row>
    <row r="6" spans="1:9" ht="21.75" customHeight="1">
      <c r="A6" s="456">
        <v>7</v>
      </c>
      <c r="B6" s="393" t="s">
        <v>188</v>
      </c>
      <c r="C6" s="457"/>
      <c r="D6" s="392"/>
      <c r="E6" s="457"/>
      <c r="F6" s="457"/>
      <c r="G6" s="457"/>
      <c r="H6" s="457"/>
      <c r="I6" s="457"/>
    </row>
    <row r="7" spans="1:9" s="326" customFormat="1" ht="21.75" customHeight="1">
      <c r="A7" s="458">
        <v>7.01</v>
      </c>
      <c r="B7" s="230" t="s">
        <v>231</v>
      </c>
      <c r="C7" s="231"/>
      <c r="D7" s="235"/>
      <c r="E7" s="231"/>
      <c r="F7" s="231"/>
      <c r="G7" s="231"/>
      <c r="H7" s="231"/>
      <c r="I7" s="231"/>
    </row>
    <row r="8" spans="1:9" s="326" customFormat="1" ht="21.75" customHeight="1">
      <c r="A8" s="459"/>
      <c r="B8" s="230" t="s">
        <v>234</v>
      </c>
      <c r="C8" s="159"/>
      <c r="D8" s="185"/>
      <c r="E8" s="159"/>
      <c r="F8" s="159"/>
      <c r="G8" s="159"/>
      <c r="H8" s="159"/>
      <c r="I8" s="159"/>
    </row>
    <row r="9" spans="1:9" s="326" customFormat="1" ht="21.75" customHeight="1">
      <c r="A9" s="460"/>
      <c r="B9" s="287" t="s">
        <v>230</v>
      </c>
      <c r="C9" s="159">
        <v>50</v>
      </c>
      <c r="D9" s="185" t="s">
        <v>181</v>
      </c>
      <c r="E9" s="159">
        <v>250</v>
      </c>
      <c r="F9" s="159">
        <f aca="true" t="shared" si="0" ref="F9:F17">+C9*E9</f>
        <v>12500</v>
      </c>
      <c r="G9" s="159">
        <v>75</v>
      </c>
      <c r="H9" s="159">
        <f>+G9*C9</f>
        <v>3750</v>
      </c>
      <c r="I9" s="159">
        <f>+F9+H9</f>
        <v>16250</v>
      </c>
    </row>
    <row r="10" spans="1:9" s="326" customFormat="1" ht="21.75" customHeight="1">
      <c r="A10" s="460"/>
      <c r="B10" s="287" t="s">
        <v>135</v>
      </c>
      <c r="C10" s="159">
        <v>110</v>
      </c>
      <c r="D10" s="185" t="s">
        <v>181</v>
      </c>
      <c r="E10" s="159">
        <v>151</v>
      </c>
      <c r="F10" s="159">
        <f t="shared" si="0"/>
        <v>16610</v>
      </c>
      <c r="G10" s="159">
        <v>45</v>
      </c>
      <c r="H10" s="159">
        <f aca="true" t="shared" si="1" ref="H10:H18">+G10*C10</f>
        <v>4950</v>
      </c>
      <c r="I10" s="159">
        <f>+F10+H10</f>
        <v>21560</v>
      </c>
    </row>
    <row r="11" spans="1:9" s="326" customFormat="1" ht="21.75" customHeight="1">
      <c r="A11" s="460"/>
      <c r="B11" s="287" t="s">
        <v>136</v>
      </c>
      <c r="C11" s="159">
        <v>56</v>
      </c>
      <c r="D11" s="185" t="s">
        <v>181</v>
      </c>
      <c r="E11" s="159">
        <v>100</v>
      </c>
      <c r="F11" s="159">
        <f t="shared" si="0"/>
        <v>5600</v>
      </c>
      <c r="G11" s="159">
        <v>30</v>
      </c>
      <c r="H11" s="159">
        <f t="shared" si="1"/>
        <v>1680</v>
      </c>
      <c r="I11" s="159">
        <f aca="true" t="shared" si="2" ref="I11:I18">+F11+H11</f>
        <v>7280</v>
      </c>
    </row>
    <row r="12" spans="1:9" s="326" customFormat="1" ht="21.75" customHeight="1">
      <c r="A12" s="460"/>
      <c r="B12" s="287" t="s">
        <v>137</v>
      </c>
      <c r="C12" s="159">
        <v>12</v>
      </c>
      <c r="D12" s="185" t="s">
        <v>181</v>
      </c>
      <c r="E12" s="159">
        <v>59</v>
      </c>
      <c r="F12" s="159">
        <f t="shared" si="0"/>
        <v>708</v>
      </c>
      <c r="G12" s="159">
        <v>18</v>
      </c>
      <c r="H12" s="159">
        <f t="shared" si="1"/>
        <v>216</v>
      </c>
      <c r="I12" s="159">
        <f t="shared" si="2"/>
        <v>924</v>
      </c>
    </row>
    <row r="13" spans="1:9" s="326" customFormat="1" ht="21.75" customHeight="1">
      <c r="A13" s="460"/>
      <c r="B13" s="287" t="s">
        <v>138</v>
      </c>
      <c r="C13" s="159">
        <v>75</v>
      </c>
      <c r="D13" s="185" t="s">
        <v>181</v>
      </c>
      <c r="E13" s="159">
        <v>38</v>
      </c>
      <c r="F13" s="159">
        <f t="shared" si="0"/>
        <v>2850</v>
      </c>
      <c r="G13" s="159">
        <v>11</v>
      </c>
      <c r="H13" s="159">
        <f t="shared" si="1"/>
        <v>825</v>
      </c>
      <c r="I13" s="159">
        <f t="shared" si="2"/>
        <v>3675</v>
      </c>
    </row>
    <row r="14" spans="1:9" s="326" customFormat="1" ht="21.75" customHeight="1">
      <c r="A14" s="460"/>
      <c r="B14" s="287" t="s">
        <v>139</v>
      </c>
      <c r="C14" s="159">
        <v>28</v>
      </c>
      <c r="D14" s="185" t="s">
        <v>181</v>
      </c>
      <c r="E14" s="159">
        <v>31</v>
      </c>
      <c r="F14" s="159">
        <f t="shared" si="0"/>
        <v>868</v>
      </c>
      <c r="G14" s="159">
        <v>9</v>
      </c>
      <c r="H14" s="159">
        <f t="shared" si="1"/>
        <v>252</v>
      </c>
      <c r="I14" s="159">
        <f t="shared" si="2"/>
        <v>1120</v>
      </c>
    </row>
    <row r="15" spans="1:11" s="326" customFormat="1" ht="21.75" customHeight="1">
      <c r="A15" s="460"/>
      <c r="B15" s="287" t="s">
        <v>140</v>
      </c>
      <c r="C15" s="159">
        <v>1</v>
      </c>
      <c r="D15" s="185" t="s">
        <v>141</v>
      </c>
      <c r="E15" s="159">
        <v>1200</v>
      </c>
      <c r="F15" s="159">
        <f t="shared" si="0"/>
        <v>1200</v>
      </c>
      <c r="G15" s="159">
        <v>250</v>
      </c>
      <c r="H15" s="159">
        <f t="shared" si="1"/>
        <v>250</v>
      </c>
      <c r="I15" s="159">
        <f t="shared" si="2"/>
        <v>1450</v>
      </c>
      <c r="K15" s="436"/>
    </row>
    <row r="16" spans="1:9" s="326" customFormat="1" ht="21.75" customHeight="1">
      <c r="A16" s="460"/>
      <c r="B16" s="287" t="s">
        <v>142</v>
      </c>
      <c r="C16" s="159">
        <v>18</v>
      </c>
      <c r="D16" s="185" t="s">
        <v>141</v>
      </c>
      <c r="E16" s="159">
        <v>404</v>
      </c>
      <c r="F16" s="159">
        <f t="shared" si="0"/>
        <v>7272</v>
      </c>
      <c r="G16" s="159">
        <v>132</v>
      </c>
      <c r="H16" s="159">
        <f t="shared" si="1"/>
        <v>2376</v>
      </c>
      <c r="I16" s="159">
        <f t="shared" si="2"/>
        <v>9648</v>
      </c>
    </row>
    <row r="17" spans="1:9" s="326" customFormat="1" ht="21.75" customHeight="1">
      <c r="A17" s="460"/>
      <c r="B17" s="287" t="s">
        <v>143</v>
      </c>
      <c r="C17" s="159">
        <v>1</v>
      </c>
      <c r="D17" s="185" t="s">
        <v>141</v>
      </c>
      <c r="E17" s="159">
        <v>324</v>
      </c>
      <c r="F17" s="159">
        <f t="shared" si="0"/>
        <v>324</v>
      </c>
      <c r="G17" s="159">
        <v>130</v>
      </c>
      <c r="H17" s="159">
        <f t="shared" si="1"/>
        <v>130</v>
      </c>
      <c r="I17" s="159">
        <f t="shared" si="2"/>
        <v>454</v>
      </c>
    </row>
    <row r="18" spans="1:9" s="326" customFormat="1" ht="21.75" customHeight="1">
      <c r="A18" s="460"/>
      <c r="B18" s="287" t="s">
        <v>471</v>
      </c>
      <c r="C18" s="186">
        <v>1</v>
      </c>
      <c r="D18" s="187" t="s">
        <v>94</v>
      </c>
      <c r="E18" s="186">
        <v>11983</v>
      </c>
      <c r="F18" s="186">
        <v>14379.6</v>
      </c>
      <c r="G18" s="186">
        <v>3607</v>
      </c>
      <c r="H18" s="186">
        <f t="shared" si="1"/>
        <v>3607</v>
      </c>
      <c r="I18" s="186">
        <f t="shared" si="2"/>
        <v>17986.6</v>
      </c>
    </row>
    <row r="19" spans="1:9" s="326" customFormat="1" ht="21.75" customHeight="1">
      <c r="A19" s="459"/>
      <c r="B19" s="408" t="s">
        <v>233</v>
      </c>
      <c r="C19" s="158"/>
      <c r="D19" s="203"/>
      <c r="E19" s="158"/>
      <c r="F19" s="158">
        <f>SUM(F9:F18)</f>
        <v>62311.6</v>
      </c>
      <c r="G19" s="158"/>
      <c r="H19" s="158">
        <f>SUM(H9:H18)</f>
        <v>18036</v>
      </c>
      <c r="I19" s="158">
        <f>SUM(I9:I18)</f>
        <v>80347.6</v>
      </c>
    </row>
    <row r="20" spans="1:9" ht="43.5">
      <c r="A20" s="461">
        <v>7.02</v>
      </c>
      <c r="B20" s="325" t="s">
        <v>144</v>
      </c>
      <c r="C20" s="158"/>
      <c r="D20" s="203"/>
      <c r="E20" s="158"/>
      <c r="F20" s="158"/>
      <c r="G20" s="158"/>
      <c r="H20" s="158"/>
      <c r="I20" s="158"/>
    </row>
    <row r="21" spans="1:9" ht="21.75">
      <c r="A21" s="462"/>
      <c r="B21" s="285" t="s">
        <v>145</v>
      </c>
      <c r="C21" s="199"/>
      <c r="D21" s="200"/>
      <c r="E21" s="199"/>
      <c r="F21" s="199"/>
      <c r="G21" s="199"/>
      <c r="H21" s="199"/>
      <c r="I21" s="199"/>
    </row>
    <row r="22" spans="1:10" ht="21.75">
      <c r="A22" s="463"/>
      <c r="B22" s="286" t="s">
        <v>146</v>
      </c>
      <c r="C22" s="201">
        <v>77</v>
      </c>
      <c r="D22" s="202" t="s">
        <v>181</v>
      </c>
      <c r="E22" s="201">
        <v>24.5</v>
      </c>
      <c r="F22" s="201">
        <f aca="true" t="shared" si="3" ref="F22:F28">+C22*E22</f>
        <v>1886.5</v>
      </c>
      <c r="G22" s="201">
        <v>12</v>
      </c>
      <c r="H22" s="201">
        <f aca="true" t="shared" si="4" ref="H22:H28">+G22*C22</f>
        <v>924</v>
      </c>
      <c r="I22" s="201">
        <f aca="true" t="shared" si="5" ref="I22:I28">+F22+H22</f>
        <v>2810.5</v>
      </c>
      <c r="J22" s="315"/>
    </row>
    <row r="23" spans="1:11" ht="21.75">
      <c r="A23" s="460"/>
      <c r="B23" s="287" t="s">
        <v>147</v>
      </c>
      <c r="C23" s="159">
        <v>6</v>
      </c>
      <c r="D23" s="185" t="s">
        <v>181</v>
      </c>
      <c r="E23" s="159">
        <v>39</v>
      </c>
      <c r="F23" s="159">
        <f t="shared" si="3"/>
        <v>234</v>
      </c>
      <c r="G23" s="159">
        <v>16</v>
      </c>
      <c r="H23" s="159">
        <f t="shared" si="4"/>
        <v>96</v>
      </c>
      <c r="I23" s="159">
        <f t="shared" si="5"/>
        <v>330</v>
      </c>
      <c r="J23" s="315"/>
      <c r="K23" s="315"/>
    </row>
    <row r="24" spans="1:9" ht="21.75">
      <c r="A24" s="460"/>
      <c r="B24" s="287" t="s">
        <v>148</v>
      </c>
      <c r="C24" s="159">
        <v>45</v>
      </c>
      <c r="D24" s="185" t="s">
        <v>181</v>
      </c>
      <c r="E24" s="159">
        <v>87.5</v>
      </c>
      <c r="F24" s="159">
        <f t="shared" si="3"/>
        <v>3937.5</v>
      </c>
      <c r="G24" s="159">
        <v>26</v>
      </c>
      <c r="H24" s="159">
        <f t="shared" si="4"/>
        <v>1170</v>
      </c>
      <c r="I24" s="159">
        <f t="shared" si="5"/>
        <v>5107.5</v>
      </c>
    </row>
    <row r="25" spans="1:9" ht="21.75">
      <c r="A25" s="460"/>
      <c r="B25" s="287" t="s">
        <v>110</v>
      </c>
      <c r="C25" s="159">
        <v>1</v>
      </c>
      <c r="D25" s="185" t="s">
        <v>94</v>
      </c>
      <c r="E25" s="159">
        <v>1514</v>
      </c>
      <c r="F25" s="159">
        <f t="shared" si="3"/>
        <v>1514</v>
      </c>
      <c r="G25" s="159">
        <v>547.5</v>
      </c>
      <c r="H25" s="159">
        <f t="shared" si="4"/>
        <v>547.5</v>
      </c>
      <c r="I25" s="159">
        <f t="shared" si="5"/>
        <v>2061.5</v>
      </c>
    </row>
    <row r="26" spans="1:9" ht="21.75">
      <c r="A26" s="460"/>
      <c r="B26" s="287" t="s">
        <v>149</v>
      </c>
      <c r="C26" s="159">
        <v>1</v>
      </c>
      <c r="D26" s="185" t="s">
        <v>94</v>
      </c>
      <c r="E26" s="159">
        <v>2272</v>
      </c>
      <c r="F26" s="159">
        <f t="shared" si="3"/>
        <v>2272</v>
      </c>
      <c r="G26" s="159">
        <v>822</v>
      </c>
      <c r="H26" s="159">
        <f t="shared" si="4"/>
        <v>822</v>
      </c>
      <c r="I26" s="159">
        <f t="shared" si="5"/>
        <v>3094</v>
      </c>
    </row>
    <row r="27" spans="1:9" ht="21.75">
      <c r="A27" s="460"/>
      <c r="B27" s="287" t="s">
        <v>150</v>
      </c>
      <c r="C27" s="159">
        <v>1</v>
      </c>
      <c r="D27" s="185" t="s">
        <v>94</v>
      </c>
      <c r="E27" s="159">
        <v>1477</v>
      </c>
      <c r="F27" s="159">
        <f t="shared" si="3"/>
        <v>1477</v>
      </c>
      <c r="G27" s="159">
        <v>534</v>
      </c>
      <c r="H27" s="159">
        <f t="shared" si="4"/>
        <v>534</v>
      </c>
      <c r="I27" s="159">
        <f t="shared" si="5"/>
        <v>2011</v>
      </c>
    </row>
    <row r="28" spans="1:10" ht="21.75">
      <c r="A28" s="460"/>
      <c r="B28" s="287" t="s">
        <v>151</v>
      </c>
      <c r="C28" s="159">
        <v>1</v>
      </c>
      <c r="D28" s="185" t="s">
        <v>94</v>
      </c>
      <c r="E28" s="159">
        <v>0</v>
      </c>
      <c r="F28" s="159">
        <f t="shared" si="3"/>
        <v>0</v>
      </c>
      <c r="G28" s="159">
        <v>0</v>
      </c>
      <c r="H28" s="159">
        <f t="shared" si="4"/>
        <v>0</v>
      </c>
      <c r="I28" s="159">
        <f t="shared" si="5"/>
        <v>0</v>
      </c>
      <c r="J28" s="315"/>
    </row>
    <row r="29" spans="1:10" ht="43.5">
      <c r="A29" s="459"/>
      <c r="B29" s="288" t="s">
        <v>189</v>
      </c>
      <c r="C29" s="216"/>
      <c r="D29" s="217"/>
      <c r="E29" s="216"/>
      <c r="F29" s="216">
        <f>SUM(F22:F28)</f>
        <v>11321</v>
      </c>
      <c r="G29" s="216"/>
      <c r="H29" s="216">
        <f>SUM(H22:H28)</f>
        <v>4093.5</v>
      </c>
      <c r="I29" s="216">
        <f>SUM(I22:I28)</f>
        <v>15414.5</v>
      </c>
      <c r="J29" s="315"/>
    </row>
    <row r="30" spans="1:9" ht="21.75">
      <c r="A30" s="336"/>
      <c r="B30" s="434" t="s">
        <v>190</v>
      </c>
      <c r="C30" s="231"/>
      <c r="D30" s="235"/>
      <c r="E30" s="231"/>
      <c r="F30" s="435">
        <f>+F19+F29</f>
        <v>73632.6</v>
      </c>
      <c r="G30" s="231"/>
      <c r="H30" s="435">
        <f>+H19+H29</f>
        <v>22129.5</v>
      </c>
      <c r="I30" s="435">
        <f>+I19+I29</f>
        <v>95762.1</v>
      </c>
    </row>
    <row r="31" spans="1:9" ht="21.75">
      <c r="A31" s="458">
        <v>7.03</v>
      </c>
      <c r="B31" s="230" t="s">
        <v>232</v>
      </c>
      <c r="C31" s="231"/>
      <c r="D31" s="235"/>
      <c r="E31" s="231"/>
      <c r="F31" s="231"/>
      <c r="G31" s="231"/>
      <c r="H31" s="231"/>
      <c r="I31" s="231"/>
    </row>
    <row r="32" spans="1:9" ht="21.75">
      <c r="A32" s="460"/>
      <c r="B32" s="230" t="s">
        <v>234</v>
      </c>
      <c r="C32" s="159"/>
      <c r="D32" s="185"/>
      <c r="E32" s="159"/>
      <c r="F32" s="159"/>
      <c r="G32" s="159"/>
      <c r="H32" s="159"/>
      <c r="I32" s="159"/>
    </row>
    <row r="33" spans="1:9" ht="21.75">
      <c r="A33" s="460"/>
      <c r="B33" s="287" t="s">
        <v>229</v>
      </c>
      <c r="C33" s="159">
        <v>120</v>
      </c>
      <c r="D33" s="185" t="s">
        <v>181</v>
      </c>
      <c r="E33" s="159">
        <v>38</v>
      </c>
      <c r="F33" s="159">
        <f>+C33*E33</f>
        <v>4560</v>
      </c>
      <c r="G33" s="159">
        <v>11</v>
      </c>
      <c r="H33" s="159">
        <f>+G33*C33</f>
        <v>1320</v>
      </c>
      <c r="I33" s="159">
        <f>+F33+H33</f>
        <v>5880</v>
      </c>
    </row>
    <row r="34" spans="1:9" ht="21.75">
      <c r="A34" s="460"/>
      <c r="B34" s="287" t="s">
        <v>139</v>
      </c>
      <c r="C34" s="159">
        <v>15</v>
      </c>
      <c r="D34" s="185" t="s">
        <v>181</v>
      </c>
      <c r="E34" s="159">
        <v>31</v>
      </c>
      <c r="F34" s="159">
        <f>+C34*E34</f>
        <v>465</v>
      </c>
      <c r="G34" s="159">
        <v>9</v>
      </c>
      <c r="H34" s="159">
        <f>+G34*C34</f>
        <v>135</v>
      </c>
      <c r="I34" s="159">
        <f>+F34+H34</f>
        <v>600</v>
      </c>
    </row>
    <row r="35" spans="1:9" ht="21.75">
      <c r="A35" s="460"/>
      <c r="B35" s="287" t="s">
        <v>142</v>
      </c>
      <c r="C35" s="159">
        <v>18</v>
      </c>
      <c r="D35" s="185" t="s">
        <v>141</v>
      </c>
      <c r="E35" s="159">
        <v>404</v>
      </c>
      <c r="F35" s="159">
        <f>+C35*E35</f>
        <v>7272</v>
      </c>
      <c r="G35" s="159">
        <v>132</v>
      </c>
      <c r="H35" s="159">
        <f>+G35*C35</f>
        <v>2376</v>
      </c>
      <c r="I35" s="159">
        <f>+F35+H35</f>
        <v>9648</v>
      </c>
    </row>
    <row r="36" spans="1:9" ht="21.75">
      <c r="A36" s="460"/>
      <c r="B36" s="287" t="s">
        <v>143</v>
      </c>
      <c r="C36" s="159">
        <v>1</v>
      </c>
      <c r="D36" s="185" t="s">
        <v>141</v>
      </c>
      <c r="E36" s="159">
        <v>324</v>
      </c>
      <c r="F36" s="159">
        <f>+C36*E36</f>
        <v>324</v>
      </c>
      <c r="G36" s="159">
        <v>130</v>
      </c>
      <c r="H36" s="159">
        <f>+G36*C36</f>
        <v>130</v>
      </c>
      <c r="I36" s="159">
        <f>+F36+H36</f>
        <v>454</v>
      </c>
    </row>
    <row r="37" spans="1:9" ht="21.75">
      <c r="A37" s="459"/>
      <c r="B37" s="287" t="s">
        <v>471</v>
      </c>
      <c r="C37" s="186">
        <v>1</v>
      </c>
      <c r="D37" s="187" t="s">
        <v>94</v>
      </c>
      <c r="E37" s="186">
        <v>3786.3</v>
      </c>
      <c r="F37" s="186">
        <f>+C37*E37</f>
        <v>3786.3</v>
      </c>
      <c r="G37" s="186">
        <v>743</v>
      </c>
      <c r="H37" s="186">
        <f>+G37*C37</f>
        <v>743</v>
      </c>
      <c r="I37" s="186">
        <f>+F37+H37</f>
        <v>4529.3</v>
      </c>
    </row>
    <row r="38" spans="1:9" ht="21.75">
      <c r="A38" s="464"/>
      <c r="B38" s="465" t="s">
        <v>233</v>
      </c>
      <c r="C38" s="219"/>
      <c r="D38" s="220"/>
      <c r="E38" s="219"/>
      <c r="F38" s="219">
        <f>SUM(F33:F37)</f>
        <v>16407.3</v>
      </c>
      <c r="G38" s="219"/>
      <c r="H38" s="219">
        <f>SUM(H33:H37)</f>
        <v>4704</v>
      </c>
      <c r="I38" s="219">
        <f>SUM(I33:I37)</f>
        <v>21111.3</v>
      </c>
    </row>
    <row r="39" spans="1:9" ht="21.75">
      <c r="A39" s="466">
        <v>7.04</v>
      </c>
      <c r="B39" s="323" t="s">
        <v>235</v>
      </c>
      <c r="C39" s="201"/>
      <c r="D39" s="202"/>
      <c r="E39" s="201"/>
      <c r="F39" s="201"/>
      <c r="G39" s="201"/>
      <c r="H39" s="201"/>
      <c r="I39" s="201"/>
    </row>
    <row r="40" spans="1:9" ht="21.75">
      <c r="A40" s="460"/>
      <c r="B40" s="287" t="s">
        <v>145</v>
      </c>
      <c r="C40" s="159"/>
      <c r="D40" s="185"/>
      <c r="E40" s="159"/>
      <c r="F40" s="159"/>
      <c r="G40" s="159"/>
      <c r="H40" s="159"/>
      <c r="I40" s="159"/>
    </row>
    <row r="41" spans="1:10" ht="21.75">
      <c r="A41" s="460"/>
      <c r="B41" s="287" t="s">
        <v>146</v>
      </c>
      <c r="C41" s="159">
        <v>175</v>
      </c>
      <c r="D41" s="185" t="s">
        <v>181</v>
      </c>
      <c r="E41" s="159">
        <v>24.5</v>
      </c>
      <c r="F41" s="159">
        <f>+C41*E41</f>
        <v>4287.5</v>
      </c>
      <c r="G41" s="159">
        <v>12</v>
      </c>
      <c r="H41" s="159">
        <f>+G41*C41</f>
        <v>2100</v>
      </c>
      <c r="I41" s="159">
        <f>+F41+H41</f>
        <v>6387.5</v>
      </c>
      <c r="J41" s="315"/>
    </row>
    <row r="42" spans="1:10" ht="21.75">
      <c r="A42" s="460"/>
      <c r="B42" s="287" t="s">
        <v>147</v>
      </c>
      <c r="C42" s="159">
        <v>60</v>
      </c>
      <c r="D42" s="185" t="s">
        <v>181</v>
      </c>
      <c r="E42" s="159">
        <v>39</v>
      </c>
      <c r="F42" s="159">
        <f>+C42*E42</f>
        <v>2340</v>
      </c>
      <c r="G42" s="159">
        <v>19</v>
      </c>
      <c r="H42" s="159">
        <f>+G42*C42</f>
        <v>1140</v>
      </c>
      <c r="I42" s="159">
        <f>+F42+H42</f>
        <v>3480</v>
      </c>
      <c r="J42" s="315"/>
    </row>
    <row r="43" spans="1:9" ht="21.75">
      <c r="A43" s="460"/>
      <c r="B43" s="287" t="s">
        <v>148</v>
      </c>
      <c r="C43" s="185">
        <v>240</v>
      </c>
      <c r="D43" s="185" t="s">
        <v>181</v>
      </c>
      <c r="E43" s="159">
        <v>87.5</v>
      </c>
      <c r="F43" s="159">
        <f>+C43*E43</f>
        <v>21000</v>
      </c>
      <c r="G43" s="159">
        <v>43</v>
      </c>
      <c r="H43" s="159">
        <f>+G43*C43</f>
        <v>10320</v>
      </c>
      <c r="I43" s="159">
        <f>+F43+H43</f>
        <v>31320</v>
      </c>
    </row>
    <row r="44" spans="1:9" ht="21.75">
      <c r="A44" s="459"/>
      <c r="B44" s="287" t="s">
        <v>472</v>
      </c>
      <c r="C44" s="186">
        <v>1</v>
      </c>
      <c r="D44" s="187" t="s">
        <v>94</v>
      </c>
      <c r="E44" s="186">
        <v>8288.25</v>
      </c>
      <c r="F44" s="186">
        <f>+C44*E44</f>
        <v>8288.25</v>
      </c>
      <c r="G44" s="186">
        <v>2543</v>
      </c>
      <c r="H44" s="186">
        <f>+G44*C44</f>
        <v>2543</v>
      </c>
      <c r="I44" s="186">
        <f>+F44+H44</f>
        <v>10831.25</v>
      </c>
    </row>
    <row r="45" spans="1:9" ht="21.75">
      <c r="A45" s="459"/>
      <c r="B45" s="467" t="s">
        <v>236</v>
      </c>
      <c r="C45" s="158"/>
      <c r="D45" s="203"/>
      <c r="E45" s="158"/>
      <c r="F45" s="158">
        <f>SUM(F41:F44)</f>
        <v>35915.75</v>
      </c>
      <c r="G45" s="158"/>
      <c r="H45" s="158">
        <f>SUM(H41:H44)</f>
        <v>16103</v>
      </c>
      <c r="I45" s="158">
        <f>SUM(I41:I44)</f>
        <v>52018.75</v>
      </c>
    </row>
    <row r="46" spans="1:9" ht="21.75">
      <c r="A46" s="458"/>
      <c r="B46" s="434" t="s">
        <v>191</v>
      </c>
      <c r="C46" s="231"/>
      <c r="D46" s="235"/>
      <c r="E46" s="231"/>
      <c r="F46" s="435">
        <f>+F38+F45</f>
        <v>52323.05</v>
      </c>
      <c r="G46" s="231"/>
      <c r="H46" s="435">
        <f>+H38+H45</f>
        <v>20807</v>
      </c>
      <c r="I46" s="435">
        <f>+I38+I45</f>
        <v>73130.05</v>
      </c>
    </row>
    <row r="47" spans="1:9" ht="21.75">
      <c r="A47" s="458">
        <v>7.05</v>
      </c>
      <c r="B47" s="230" t="s">
        <v>237</v>
      </c>
      <c r="C47" s="231"/>
      <c r="D47" s="235"/>
      <c r="E47" s="231"/>
      <c r="F47" s="231"/>
      <c r="G47" s="231"/>
      <c r="H47" s="231"/>
      <c r="I47" s="231"/>
    </row>
    <row r="48" spans="1:9" ht="21.75">
      <c r="A48" s="460"/>
      <c r="B48" s="230" t="s">
        <v>234</v>
      </c>
      <c r="C48" s="159"/>
      <c r="D48" s="185"/>
      <c r="E48" s="159"/>
      <c r="F48" s="159"/>
      <c r="G48" s="159"/>
      <c r="H48" s="159"/>
      <c r="I48" s="159"/>
    </row>
    <row r="49" spans="1:9" ht="21.75">
      <c r="A49" s="460"/>
      <c r="B49" s="287" t="s">
        <v>238</v>
      </c>
      <c r="C49" s="159">
        <v>180</v>
      </c>
      <c r="D49" s="185" t="s">
        <v>181</v>
      </c>
      <c r="E49" s="159">
        <v>38</v>
      </c>
      <c r="F49" s="159">
        <f>+C49*E49</f>
        <v>6840</v>
      </c>
      <c r="G49" s="159">
        <v>11</v>
      </c>
      <c r="H49" s="159">
        <f>+G49*C49</f>
        <v>1980</v>
      </c>
      <c r="I49" s="159">
        <f>+F49+H49</f>
        <v>8820</v>
      </c>
    </row>
    <row r="50" spans="1:9" ht="21.75">
      <c r="A50" s="460"/>
      <c r="B50" s="287" t="s">
        <v>139</v>
      </c>
      <c r="C50" s="159">
        <v>14</v>
      </c>
      <c r="D50" s="185" t="s">
        <v>181</v>
      </c>
      <c r="E50" s="159">
        <v>31</v>
      </c>
      <c r="F50" s="159">
        <f>+C50*E50</f>
        <v>434</v>
      </c>
      <c r="G50" s="159">
        <v>9</v>
      </c>
      <c r="H50" s="159">
        <f>+G50*C50</f>
        <v>126</v>
      </c>
      <c r="I50" s="159">
        <f>+F50+H50</f>
        <v>560</v>
      </c>
    </row>
    <row r="51" spans="1:9" ht="21.75">
      <c r="A51" s="459"/>
      <c r="B51" s="287" t="s">
        <v>142</v>
      </c>
      <c r="C51" s="159">
        <v>30</v>
      </c>
      <c r="D51" s="185" t="s">
        <v>141</v>
      </c>
      <c r="E51" s="159">
        <v>404</v>
      </c>
      <c r="F51" s="159">
        <f>+C51*E51</f>
        <v>12120</v>
      </c>
      <c r="G51" s="159">
        <v>132</v>
      </c>
      <c r="H51" s="159">
        <f>+G51*C51</f>
        <v>3960</v>
      </c>
      <c r="I51" s="159">
        <f>+F51+H51</f>
        <v>16080</v>
      </c>
    </row>
    <row r="52" spans="1:9" ht="21.75">
      <c r="A52" s="458"/>
      <c r="B52" s="287" t="s">
        <v>472</v>
      </c>
      <c r="C52" s="159">
        <v>1</v>
      </c>
      <c r="D52" s="185" t="s">
        <v>94</v>
      </c>
      <c r="E52" s="159">
        <v>5818.2</v>
      </c>
      <c r="F52" s="159">
        <f>+C52*E52</f>
        <v>5818.2</v>
      </c>
      <c r="G52" s="159">
        <v>1517</v>
      </c>
      <c r="H52" s="159">
        <f>+G52*C52</f>
        <v>1517</v>
      </c>
      <c r="I52" s="159">
        <f>+F52+H52</f>
        <v>7335.2</v>
      </c>
    </row>
    <row r="53" spans="1:9" ht="21.75">
      <c r="A53" s="460"/>
      <c r="B53" s="408" t="s">
        <v>233</v>
      </c>
      <c r="C53" s="158"/>
      <c r="D53" s="203"/>
      <c r="E53" s="158"/>
      <c r="F53" s="158">
        <f>SUM(F49:F52)</f>
        <v>25212.2</v>
      </c>
      <c r="G53" s="158"/>
      <c r="H53" s="158">
        <f>SUM(H49:H52)</f>
        <v>7583</v>
      </c>
      <c r="I53" s="158">
        <f>SUM(I49:I52)</f>
        <v>32795.2</v>
      </c>
    </row>
    <row r="54" spans="1:9" ht="21.75">
      <c r="A54" s="458">
        <v>7.06</v>
      </c>
      <c r="B54" s="230" t="s">
        <v>192</v>
      </c>
      <c r="C54" s="159"/>
      <c r="D54" s="185"/>
      <c r="E54" s="159"/>
      <c r="F54" s="159"/>
      <c r="G54" s="159"/>
      <c r="H54" s="159"/>
      <c r="I54" s="159"/>
    </row>
    <row r="55" spans="1:9" ht="21.75">
      <c r="A55" s="460"/>
      <c r="B55" s="287" t="s">
        <v>145</v>
      </c>
      <c r="C55" s="159"/>
      <c r="D55" s="185"/>
      <c r="E55" s="159"/>
      <c r="F55" s="159"/>
      <c r="G55" s="159"/>
      <c r="H55" s="159"/>
      <c r="I55" s="159"/>
    </row>
    <row r="56" spans="1:9" ht="21.75">
      <c r="A56" s="462"/>
      <c r="B56" s="285" t="s">
        <v>146</v>
      </c>
      <c r="C56" s="199">
        <v>200</v>
      </c>
      <c r="D56" s="200" t="s">
        <v>181</v>
      </c>
      <c r="E56" s="199">
        <v>24.5</v>
      </c>
      <c r="F56" s="199">
        <f>+C56*E56</f>
        <v>4900</v>
      </c>
      <c r="G56" s="199">
        <v>12</v>
      </c>
      <c r="H56" s="199">
        <f>+G56*C56</f>
        <v>2400</v>
      </c>
      <c r="I56" s="199">
        <f>+F56+H56</f>
        <v>7300</v>
      </c>
    </row>
    <row r="57" spans="1:9" ht="21.75">
      <c r="A57" s="463"/>
      <c r="B57" s="286" t="s">
        <v>147</v>
      </c>
      <c r="C57" s="201">
        <v>70</v>
      </c>
      <c r="D57" s="202" t="s">
        <v>181</v>
      </c>
      <c r="E57" s="201">
        <v>39</v>
      </c>
      <c r="F57" s="201">
        <f>+C57*E57</f>
        <v>2730</v>
      </c>
      <c r="G57" s="201">
        <v>19</v>
      </c>
      <c r="H57" s="201">
        <f>+G57*C57</f>
        <v>1330</v>
      </c>
      <c r="I57" s="201">
        <f>+F57+H57</f>
        <v>4060</v>
      </c>
    </row>
    <row r="58" spans="1:9" ht="21.75">
      <c r="A58" s="460"/>
      <c r="B58" s="287" t="s">
        <v>148</v>
      </c>
      <c r="C58" s="159">
        <v>180</v>
      </c>
      <c r="D58" s="185" t="s">
        <v>181</v>
      </c>
      <c r="E58" s="159">
        <v>87.5</v>
      </c>
      <c r="F58" s="159">
        <f>+C58*E58</f>
        <v>15750</v>
      </c>
      <c r="G58" s="159">
        <v>43</v>
      </c>
      <c r="H58" s="159">
        <f>+G58*C58</f>
        <v>7740</v>
      </c>
      <c r="I58" s="159">
        <f>+F58+H58</f>
        <v>23490</v>
      </c>
    </row>
    <row r="59" spans="1:9" ht="21.75" customHeight="1">
      <c r="A59" s="459"/>
      <c r="B59" s="287" t="s">
        <v>472</v>
      </c>
      <c r="C59" s="159">
        <v>1</v>
      </c>
      <c r="D59" s="185" t="s">
        <v>94</v>
      </c>
      <c r="E59" s="159">
        <v>7014</v>
      </c>
      <c r="F59" s="159">
        <f>+C59*E59</f>
        <v>7014</v>
      </c>
      <c r="G59" s="159">
        <v>2867.5</v>
      </c>
      <c r="H59" s="159">
        <f>+G59*C59</f>
        <v>2867.5</v>
      </c>
      <c r="I59" s="159">
        <f>+F59+H59</f>
        <v>9881.5</v>
      </c>
    </row>
    <row r="60" spans="1:9" ht="21.75">
      <c r="A60" s="459"/>
      <c r="B60" s="287" t="s">
        <v>151</v>
      </c>
      <c r="C60" s="159">
        <v>1</v>
      </c>
      <c r="D60" s="185" t="s">
        <v>94</v>
      </c>
      <c r="E60" s="159">
        <v>0</v>
      </c>
      <c r="F60" s="159">
        <f>+C60*E60</f>
        <v>0</v>
      </c>
      <c r="G60" s="159">
        <v>0</v>
      </c>
      <c r="H60" s="159">
        <f>+G60*C60</f>
        <v>0</v>
      </c>
      <c r="I60" s="159">
        <f>+F60+H60</f>
        <v>0</v>
      </c>
    </row>
    <row r="61" spans="1:9" ht="21.75" customHeight="1">
      <c r="A61" s="458"/>
      <c r="B61" s="288" t="s">
        <v>239</v>
      </c>
      <c r="C61" s="216"/>
      <c r="D61" s="217"/>
      <c r="E61" s="216"/>
      <c r="F61" s="216">
        <f>SUM(F56:F60)</f>
        <v>30394</v>
      </c>
      <c r="G61" s="216"/>
      <c r="H61" s="216">
        <f>SUM(H56:H60)</f>
        <v>14337.5</v>
      </c>
      <c r="I61" s="216">
        <f>SUM(I56:I60)</f>
        <v>44731.5</v>
      </c>
    </row>
    <row r="62" spans="1:9" ht="21.75">
      <c r="A62" s="460"/>
      <c r="B62" s="434" t="s">
        <v>240</v>
      </c>
      <c r="C62" s="231"/>
      <c r="D62" s="235"/>
      <c r="E62" s="231"/>
      <c r="F62" s="435">
        <f>+F53+F61</f>
        <v>55606.2</v>
      </c>
      <c r="G62" s="231"/>
      <c r="H62" s="435">
        <f>+H53+H61</f>
        <v>21920.5</v>
      </c>
      <c r="I62" s="435">
        <f>+I53+I61</f>
        <v>77526.7</v>
      </c>
    </row>
    <row r="63" spans="1:9" ht="21.75">
      <c r="A63" s="458">
        <v>7.07</v>
      </c>
      <c r="B63" s="230" t="s">
        <v>152</v>
      </c>
      <c r="C63" s="231"/>
      <c r="D63" s="235"/>
      <c r="E63" s="231"/>
      <c r="F63" s="231"/>
      <c r="G63" s="231"/>
      <c r="H63" s="231"/>
      <c r="I63" s="231"/>
    </row>
    <row r="64" spans="1:10" ht="21.75">
      <c r="A64" s="460"/>
      <c r="B64" s="287" t="s">
        <v>195</v>
      </c>
      <c r="C64" s="159">
        <v>1</v>
      </c>
      <c r="D64" s="185" t="s">
        <v>75</v>
      </c>
      <c r="E64" s="159">
        <v>35000</v>
      </c>
      <c r="F64" s="159">
        <f aca="true" t="shared" si="6" ref="F64:F70">+C64*E64</f>
        <v>35000</v>
      </c>
      <c r="G64" s="159">
        <v>10000</v>
      </c>
      <c r="H64" s="159">
        <f aca="true" t="shared" si="7" ref="H64:H70">+G64*C64</f>
        <v>10000</v>
      </c>
      <c r="I64" s="159">
        <f aca="true" t="shared" si="8" ref="I64:I70">+F64+H64</f>
        <v>45000</v>
      </c>
      <c r="J64" s="315"/>
    </row>
    <row r="65" spans="1:9" ht="21.75">
      <c r="A65" s="460"/>
      <c r="B65" s="287" t="s">
        <v>241</v>
      </c>
      <c r="C65" s="159">
        <v>1</v>
      </c>
      <c r="D65" s="185" t="s">
        <v>94</v>
      </c>
      <c r="E65" s="159">
        <v>0</v>
      </c>
      <c r="F65" s="159">
        <f t="shared" si="6"/>
        <v>0</v>
      </c>
      <c r="G65" s="159">
        <v>7000</v>
      </c>
      <c r="H65" s="159">
        <f t="shared" si="7"/>
        <v>7000</v>
      </c>
      <c r="I65" s="159">
        <f t="shared" si="8"/>
        <v>7000</v>
      </c>
    </row>
    <row r="66" spans="1:9" ht="21.75">
      <c r="A66" s="460"/>
      <c r="B66" s="287" t="s">
        <v>153</v>
      </c>
      <c r="C66" s="159">
        <v>1</v>
      </c>
      <c r="D66" s="185" t="s">
        <v>94</v>
      </c>
      <c r="E66" s="159">
        <v>22000</v>
      </c>
      <c r="F66" s="159">
        <f t="shared" si="6"/>
        <v>22000</v>
      </c>
      <c r="G66" s="159">
        <v>8000</v>
      </c>
      <c r="H66" s="159">
        <f t="shared" si="7"/>
        <v>8000</v>
      </c>
      <c r="I66" s="159">
        <f t="shared" si="8"/>
        <v>30000</v>
      </c>
    </row>
    <row r="67" spans="1:9" ht="21.75">
      <c r="A67" s="460"/>
      <c r="B67" s="251" t="s">
        <v>242</v>
      </c>
      <c r="C67" s="159">
        <v>1</v>
      </c>
      <c r="D67" s="185" t="s">
        <v>76</v>
      </c>
      <c r="E67" s="159">
        <v>6500</v>
      </c>
      <c r="F67" s="159">
        <f t="shared" si="6"/>
        <v>6500</v>
      </c>
      <c r="G67" s="159">
        <v>2000</v>
      </c>
      <c r="H67" s="159">
        <f t="shared" si="7"/>
        <v>2000</v>
      </c>
      <c r="I67" s="159">
        <f t="shared" si="8"/>
        <v>8500</v>
      </c>
    </row>
    <row r="68" spans="1:10" ht="43.5">
      <c r="A68" s="459"/>
      <c r="B68" s="365" t="s">
        <v>154</v>
      </c>
      <c r="C68" s="204">
        <v>1</v>
      </c>
      <c r="D68" s="205" t="s">
        <v>94</v>
      </c>
      <c r="E68" s="204">
        <v>2200</v>
      </c>
      <c r="F68" s="204">
        <f t="shared" si="6"/>
        <v>2200</v>
      </c>
      <c r="G68" s="204">
        <v>1650</v>
      </c>
      <c r="H68" s="204">
        <f t="shared" si="7"/>
        <v>1650</v>
      </c>
      <c r="I68" s="204">
        <f t="shared" si="8"/>
        <v>3850</v>
      </c>
      <c r="J68" s="315"/>
    </row>
    <row r="69" spans="1:10" ht="43.5">
      <c r="A69" s="468">
        <v>7.08</v>
      </c>
      <c r="B69" s="365" t="s">
        <v>194</v>
      </c>
      <c r="C69" s="204">
        <v>1</v>
      </c>
      <c r="D69" s="205" t="s">
        <v>94</v>
      </c>
      <c r="E69" s="204">
        <v>14500</v>
      </c>
      <c r="F69" s="204">
        <f t="shared" si="6"/>
        <v>14500</v>
      </c>
      <c r="G69" s="204">
        <v>6500</v>
      </c>
      <c r="H69" s="204">
        <f t="shared" si="7"/>
        <v>6500</v>
      </c>
      <c r="I69" s="204">
        <f t="shared" si="8"/>
        <v>21000</v>
      </c>
      <c r="J69" s="315"/>
    </row>
    <row r="70" spans="1:10" ht="21.75">
      <c r="A70" s="469"/>
      <c r="B70" s="251" t="s">
        <v>202</v>
      </c>
      <c r="C70" s="159">
        <v>1</v>
      </c>
      <c r="D70" s="185" t="s">
        <v>94</v>
      </c>
      <c r="E70" s="159">
        <v>12000</v>
      </c>
      <c r="F70" s="159">
        <f t="shared" si="6"/>
        <v>12000</v>
      </c>
      <c r="G70" s="159">
        <v>6000</v>
      </c>
      <c r="H70" s="159">
        <f t="shared" si="7"/>
        <v>6000</v>
      </c>
      <c r="I70" s="159">
        <f t="shared" si="8"/>
        <v>18000</v>
      </c>
      <c r="J70" s="315"/>
    </row>
    <row r="71" spans="1:10" ht="21.75">
      <c r="A71" s="470"/>
      <c r="B71" s="421" t="s">
        <v>193</v>
      </c>
      <c r="C71" s="369"/>
      <c r="D71" s="349"/>
      <c r="E71" s="369"/>
      <c r="F71" s="423">
        <f>SUM(F64:F70)</f>
        <v>92200</v>
      </c>
      <c r="G71" s="369"/>
      <c r="H71" s="423">
        <f>SUM(H64:H70)</f>
        <v>41150</v>
      </c>
      <c r="I71" s="423">
        <f>SUM(I64:I70)</f>
        <v>133350</v>
      </c>
      <c r="J71" s="315"/>
    </row>
    <row r="72" spans="1:9" ht="21.75">
      <c r="A72" s="471">
        <v>7.09</v>
      </c>
      <c r="B72" s="323" t="s">
        <v>473</v>
      </c>
      <c r="C72" s="335"/>
      <c r="D72" s="353"/>
      <c r="E72" s="335"/>
      <c r="F72" s="335"/>
      <c r="G72" s="335"/>
      <c r="H72" s="335"/>
      <c r="I72" s="335"/>
    </row>
    <row r="73" spans="1:9" ht="21.75">
      <c r="A73" s="469"/>
      <c r="B73" s="287" t="s">
        <v>694</v>
      </c>
      <c r="C73" s="159">
        <v>2</v>
      </c>
      <c r="D73" s="185" t="s">
        <v>76</v>
      </c>
      <c r="E73" s="159">
        <v>120000</v>
      </c>
      <c r="F73" s="159">
        <f>+C73*E73</f>
        <v>240000</v>
      </c>
      <c r="G73" s="159">
        <v>6000</v>
      </c>
      <c r="H73" s="159">
        <f>+G73*C73</f>
        <v>12000</v>
      </c>
      <c r="I73" s="159">
        <f>+F73+H73</f>
        <v>252000</v>
      </c>
    </row>
    <row r="74" spans="1:9" ht="21.75">
      <c r="A74" s="472"/>
      <c r="B74" s="287" t="s">
        <v>155</v>
      </c>
      <c r="C74" s="159">
        <v>95</v>
      </c>
      <c r="D74" s="185" t="s">
        <v>181</v>
      </c>
      <c r="E74" s="159">
        <v>374</v>
      </c>
      <c r="F74" s="159">
        <f>+C74*E74</f>
        <v>35530</v>
      </c>
      <c r="G74" s="159">
        <v>94</v>
      </c>
      <c r="H74" s="159">
        <f>+G74*C74</f>
        <v>8930</v>
      </c>
      <c r="I74" s="159">
        <f>+F74+H74</f>
        <v>44460</v>
      </c>
    </row>
    <row r="75" spans="1:9" ht="21.75">
      <c r="A75" s="473"/>
      <c r="B75" s="287" t="s">
        <v>156</v>
      </c>
      <c r="C75" s="159">
        <v>40</v>
      </c>
      <c r="D75" s="185" t="s">
        <v>181</v>
      </c>
      <c r="E75" s="159">
        <v>42</v>
      </c>
      <c r="F75" s="159">
        <f>+C75*E75</f>
        <v>1680</v>
      </c>
      <c r="G75" s="159">
        <v>10</v>
      </c>
      <c r="H75" s="159">
        <f>+G75*C75</f>
        <v>400</v>
      </c>
      <c r="I75" s="159">
        <f>+F75+H75</f>
        <v>2080</v>
      </c>
    </row>
    <row r="76" spans="1:9" ht="21.75">
      <c r="A76" s="473"/>
      <c r="B76" s="287" t="s">
        <v>157</v>
      </c>
      <c r="C76" s="159">
        <v>1</v>
      </c>
      <c r="D76" s="185" t="s">
        <v>94</v>
      </c>
      <c r="E76" s="159">
        <v>62884</v>
      </c>
      <c r="F76" s="159">
        <f>+C76*E76</f>
        <v>62884</v>
      </c>
      <c r="G76" s="159">
        <v>7332</v>
      </c>
      <c r="H76" s="159">
        <f>+G76*C76</f>
        <v>7332</v>
      </c>
      <c r="I76" s="159">
        <f>+F76+H76</f>
        <v>70216</v>
      </c>
    </row>
    <row r="77" spans="1:9" ht="21.75">
      <c r="A77" s="473"/>
      <c r="B77" s="434" t="s">
        <v>196</v>
      </c>
      <c r="C77" s="231"/>
      <c r="D77" s="235"/>
      <c r="E77" s="231"/>
      <c r="F77" s="435">
        <f>SUM(F73:F76)</f>
        <v>340094</v>
      </c>
      <c r="G77" s="231"/>
      <c r="H77" s="435">
        <f>SUM(H73:H76)</f>
        <v>28662</v>
      </c>
      <c r="I77" s="435">
        <f>SUM(I73:I76)</f>
        <v>368756</v>
      </c>
    </row>
    <row r="78" spans="1:9" ht="21.75">
      <c r="A78" s="474">
        <v>7.1</v>
      </c>
      <c r="B78" s="358" t="s">
        <v>474</v>
      </c>
      <c r="C78" s="231"/>
      <c r="D78" s="235"/>
      <c r="E78" s="231"/>
      <c r="F78" s="435"/>
      <c r="G78" s="231"/>
      <c r="H78" s="435"/>
      <c r="I78" s="435"/>
    </row>
    <row r="79" spans="1:9" ht="21.75">
      <c r="A79" s="473"/>
      <c r="B79" s="251" t="s">
        <v>475</v>
      </c>
      <c r="C79" s="159">
        <v>2</v>
      </c>
      <c r="D79" s="185" t="s">
        <v>76</v>
      </c>
      <c r="E79" s="159">
        <v>17000</v>
      </c>
      <c r="F79" s="475">
        <f>C79*E79</f>
        <v>34000</v>
      </c>
      <c r="G79" s="159">
        <v>3000</v>
      </c>
      <c r="H79" s="475">
        <f>C79*G79</f>
        <v>6000</v>
      </c>
      <c r="I79" s="475">
        <f>H79+F79</f>
        <v>40000</v>
      </c>
    </row>
    <row r="80" spans="1:9" ht="21.75">
      <c r="A80" s="472"/>
      <c r="B80" s="251" t="s">
        <v>155</v>
      </c>
      <c r="C80" s="159">
        <v>95</v>
      </c>
      <c r="D80" s="185" t="s">
        <v>181</v>
      </c>
      <c r="E80" s="159">
        <v>374</v>
      </c>
      <c r="F80" s="475">
        <f>C80*E80</f>
        <v>35530</v>
      </c>
      <c r="G80" s="159">
        <v>94</v>
      </c>
      <c r="H80" s="475">
        <f>C80*G80</f>
        <v>8930</v>
      </c>
      <c r="I80" s="475">
        <f>H80+F80</f>
        <v>44460</v>
      </c>
    </row>
    <row r="81" spans="1:9" ht="21.75">
      <c r="A81" s="472"/>
      <c r="B81" s="251" t="s">
        <v>156</v>
      </c>
      <c r="C81" s="159">
        <v>45</v>
      </c>
      <c r="D81" s="185" t="s">
        <v>181</v>
      </c>
      <c r="E81" s="159">
        <v>42</v>
      </c>
      <c r="F81" s="475">
        <f>C81*E81</f>
        <v>1890</v>
      </c>
      <c r="G81" s="159">
        <v>10</v>
      </c>
      <c r="H81" s="475">
        <f>C81*G81</f>
        <v>450</v>
      </c>
      <c r="I81" s="475">
        <f>H81+F81</f>
        <v>2340</v>
      </c>
    </row>
    <row r="82" spans="1:9" ht="21.75">
      <c r="A82" s="472"/>
      <c r="B82" s="251" t="s">
        <v>476</v>
      </c>
      <c r="C82" s="159">
        <v>1</v>
      </c>
      <c r="D82" s="185" t="s">
        <v>94</v>
      </c>
      <c r="E82" s="159">
        <f>+E79*0.52</f>
        <v>8840</v>
      </c>
      <c r="F82" s="475">
        <f>C82*E82</f>
        <v>8840</v>
      </c>
      <c r="G82" s="159">
        <f>+E82*0.27</f>
        <v>2386.8</v>
      </c>
      <c r="H82" s="475">
        <f>C82*G82</f>
        <v>2386.8</v>
      </c>
      <c r="I82" s="475">
        <f>H82+F82</f>
        <v>11226.8</v>
      </c>
    </row>
    <row r="83" spans="1:9" ht="21.75">
      <c r="A83" s="472"/>
      <c r="B83" s="434" t="s">
        <v>196</v>
      </c>
      <c r="C83" s="231"/>
      <c r="D83" s="235"/>
      <c r="E83" s="231"/>
      <c r="F83" s="435">
        <f>SUM(F79:F82)</f>
        <v>80260</v>
      </c>
      <c r="G83" s="231"/>
      <c r="H83" s="435">
        <f>SUM(H79:H82)</f>
        <v>17766.8</v>
      </c>
      <c r="I83" s="435">
        <f>SUM(I79:I82)</f>
        <v>98026.8</v>
      </c>
    </row>
    <row r="84" spans="1:9" ht="21.75">
      <c r="A84" s="476">
        <v>7.11</v>
      </c>
      <c r="B84" s="230" t="s">
        <v>197</v>
      </c>
      <c r="C84" s="231"/>
      <c r="D84" s="235"/>
      <c r="E84" s="231"/>
      <c r="F84" s="231"/>
      <c r="G84" s="231"/>
      <c r="H84" s="231"/>
      <c r="I84" s="231"/>
    </row>
    <row r="85" spans="1:9" ht="21.75">
      <c r="A85" s="469"/>
      <c r="B85" s="287" t="s">
        <v>158</v>
      </c>
      <c r="C85" s="159">
        <v>1</v>
      </c>
      <c r="D85" s="185" t="s">
        <v>94</v>
      </c>
      <c r="E85" s="159"/>
      <c r="F85" s="159">
        <f>+C85*E85</f>
        <v>0</v>
      </c>
      <c r="G85" s="159">
        <v>5000</v>
      </c>
      <c r="H85" s="159">
        <f>+G85*C85</f>
        <v>5000</v>
      </c>
      <c r="I85" s="159">
        <f>+F85+H85</f>
        <v>5000</v>
      </c>
    </row>
    <row r="86" spans="1:9" ht="21.75">
      <c r="A86" s="472"/>
      <c r="B86" s="287" t="s">
        <v>159</v>
      </c>
      <c r="C86" s="159">
        <v>1</v>
      </c>
      <c r="D86" s="185" t="s">
        <v>94</v>
      </c>
      <c r="E86" s="159">
        <v>20000</v>
      </c>
      <c r="F86" s="159">
        <f>+C86*E86</f>
        <v>20000</v>
      </c>
      <c r="G86" s="159">
        <v>7000</v>
      </c>
      <c r="H86" s="159">
        <f>+G86*C86</f>
        <v>7000</v>
      </c>
      <c r="I86" s="159">
        <f>+F86+H86</f>
        <v>27000</v>
      </c>
    </row>
    <row r="87" spans="1:9" ht="43.5">
      <c r="A87" s="477"/>
      <c r="B87" s="478" t="s">
        <v>243</v>
      </c>
      <c r="C87" s="221">
        <v>26</v>
      </c>
      <c r="D87" s="221" t="s">
        <v>101</v>
      </c>
      <c r="E87" s="221">
        <v>550</v>
      </c>
      <c r="F87" s="221">
        <f>+C87*E87</f>
        <v>14300</v>
      </c>
      <c r="G87" s="221">
        <v>220</v>
      </c>
      <c r="H87" s="221">
        <f>+G87*C87</f>
        <v>5720</v>
      </c>
      <c r="I87" s="221">
        <f>+F87+H87</f>
        <v>20020</v>
      </c>
    </row>
    <row r="88" spans="1:9" ht="43.5">
      <c r="A88" s="479"/>
      <c r="B88" s="480" t="s">
        <v>244</v>
      </c>
      <c r="C88" s="222">
        <v>3</v>
      </c>
      <c r="D88" s="223" t="s">
        <v>160</v>
      </c>
      <c r="E88" s="222">
        <v>8800</v>
      </c>
      <c r="F88" s="222">
        <f>+C88*E88</f>
        <v>26400</v>
      </c>
      <c r="G88" s="222">
        <v>5000</v>
      </c>
      <c r="H88" s="222">
        <f>+G88*C88</f>
        <v>15000</v>
      </c>
      <c r="I88" s="222">
        <f>+F88+H88</f>
        <v>41400</v>
      </c>
    </row>
    <row r="89" spans="1:9" ht="21.75">
      <c r="A89" s="469"/>
      <c r="B89" s="434" t="s">
        <v>198</v>
      </c>
      <c r="C89" s="231"/>
      <c r="D89" s="235"/>
      <c r="E89" s="231"/>
      <c r="F89" s="435">
        <f>SUM(F85:F88)</f>
        <v>60700</v>
      </c>
      <c r="G89" s="231"/>
      <c r="H89" s="435">
        <f>SUM(H85:H88)</f>
        <v>32720</v>
      </c>
      <c r="I89" s="435">
        <f>SUM(I85:I88)</f>
        <v>93420</v>
      </c>
    </row>
    <row r="90" spans="1:9" ht="43.5">
      <c r="A90" s="468">
        <v>7.12</v>
      </c>
      <c r="B90" s="325" t="s">
        <v>161</v>
      </c>
      <c r="C90" s="231"/>
      <c r="D90" s="235"/>
      <c r="E90" s="231"/>
      <c r="F90" s="231"/>
      <c r="G90" s="231"/>
      <c r="H90" s="231"/>
      <c r="I90" s="231"/>
    </row>
    <row r="91" spans="1:9" ht="21.75">
      <c r="A91" s="460"/>
      <c r="B91" s="287" t="s">
        <v>490</v>
      </c>
      <c r="C91" s="159">
        <v>1</v>
      </c>
      <c r="D91" s="185" t="s">
        <v>94</v>
      </c>
      <c r="E91" s="159">
        <v>0</v>
      </c>
      <c r="F91" s="159">
        <f>+C91*E91</f>
        <v>0</v>
      </c>
      <c r="G91" s="159">
        <v>5000</v>
      </c>
      <c r="H91" s="159">
        <f>+G91*C91</f>
        <v>5000</v>
      </c>
      <c r="I91" s="159">
        <f>+F91+H91</f>
        <v>5000</v>
      </c>
    </row>
    <row r="92" spans="1:11" ht="21.75">
      <c r="A92" s="459"/>
      <c r="B92" s="287" t="s">
        <v>162</v>
      </c>
      <c r="C92" s="159">
        <v>180</v>
      </c>
      <c r="D92" s="185" t="s">
        <v>101</v>
      </c>
      <c r="E92" s="159">
        <v>0</v>
      </c>
      <c r="F92" s="159">
        <f>+C92*E92</f>
        <v>0</v>
      </c>
      <c r="G92" s="159">
        <v>250</v>
      </c>
      <c r="H92" s="159">
        <f>+G92*C92</f>
        <v>45000</v>
      </c>
      <c r="I92" s="159">
        <f>+F92+H92</f>
        <v>45000</v>
      </c>
      <c r="K92" s="315"/>
    </row>
    <row r="93" spans="1:11" ht="21.75">
      <c r="A93" s="481"/>
      <c r="B93" s="287" t="s">
        <v>199</v>
      </c>
      <c r="C93" s="159">
        <v>110</v>
      </c>
      <c r="D93" s="185" t="s">
        <v>101</v>
      </c>
      <c r="E93" s="159">
        <v>0</v>
      </c>
      <c r="F93" s="159">
        <f>+C93*E93</f>
        <v>0</v>
      </c>
      <c r="G93" s="159">
        <v>900</v>
      </c>
      <c r="H93" s="159">
        <f>+G93*C93</f>
        <v>99000</v>
      </c>
      <c r="I93" s="159">
        <f>+F93+H93</f>
        <v>99000</v>
      </c>
      <c r="K93" s="315"/>
    </row>
    <row r="94" spans="1:9" ht="21.75">
      <c r="A94" s="460"/>
      <c r="B94" s="287" t="s">
        <v>200</v>
      </c>
      <c r="C94" s="159">
        <v>70</v>
      </c>
      <c r="D94" s="185" t="s">
        <v>101</v>
      </c>
      <c r="E94" s="159">
        <v>0</v>
      </c>
      <c r="F94" s="159">
        <f>+C94*E94</f>
        <v>0</v>
      </c>
      <c r="G94" s="159">
        <v>1000</v>
      </c>
      <c r="H94" s="159">
        <f>+G94*C94</f>
        <v>70000</v>
      </c>
      <c r="I94" s="159">
        <f>+F94+H94</f>
        <v>70000</v>
      </c>
    </row>
    <row r="95" spans="1:11" ht="43.5">
      <c r="A95" s="460"/>
      <c r="B95" s="482" t="s">
        <v>245</v>
      </c>
      <c r="C95" s="372"/>
      <c r="D95" s="483"/>
      <c r="E95" s="372"/>
      <c r="F95" s="438">
        <f>SUM(F91:F94)</f>
        <v>0</v>
      </c>
      <c r="G95" s="372"/>
      <c r="H95" s="438">
        <f>SUM(H91:H94)</f>
        <v>219000</v>
      </c>
      <c r="I95" s="438">
        <f>SUM(I91:I94)</f>
        <v>219000</v>
      </c>
      <c r="J95" s="315"/>
      <c r="K95" s="315"/>
    </row>
    <row r="96" spans="1:9" ht="21.75">
      <c r="A96" s="458">
        <v>7.13</v>
      </c>
      <c r="B96" s="230" t="s">
        <v>163</v>
      </c>
      <c r="C96" s="231"/>
      <c r="D96" s="235"/>
      <c r="E96" s="231"/>
      <c r="F96" s="231"/>
      <c r="G96" s="231"/>
      <c r="H96" s="231"/>
      <c r="I96" s="231"/>
    </row>
    <row r="97" spans="1:9" ht="43.5">
      <c r="A97" s="460"/>
      <c r="B97" s="328" t="s">
        <v>205</v>
      </c>
      <c r="C97" s="204">
        <v>1</v>
      </c>
      <c r="D97" s="205" t="s">
        <v>94</v>
      </c>
      <c r="E97" s="204">
        <v>8000</v>
      </c>
      <c r="F97" s="204">
        <f>+C97*E97</f>
        <v>8000</v>
      </c>
      <c r="G97" s="204">
        <v>2000</v>
      </c>
      <c r="H97" s="204">
        <f>+G97*C97</f>
        <v>2000</v>
      </c>
      <c r="I97" s="204">
        <f>+F97+H97</f>
        <v>10000</v>
      </c>
    </row>
    <row r="98" spans="1:9" ht="43.5">
      <c r="A98" s="460"/>
      <c r="B98" s="328" t="s">
        <v>164</v>
      </c>
      <c r="C98" s="204">
        <v>1</v>
      </c>
      <c r="D98" s="205" t="s">
        <v>94</v>
      </c>
      <c r="E98" s="204">
        <v>5000</v>
      </c>
      <c r="F98" s="204">
        <f>+C98*E98</f>
        <v>5000</v>
      </c>
      <c r="G98" s="204">
        <v>1500</v>
      </c>
      <c r="H98" s="204">
        <f>+G98*C98</f>
        <v>1500</v>
      </c>
      <c r="I98" s="204">
        <f>+F98+H98</f>
        <v>6500</v>
      </c>
    </row>
    <row r="99" spans="1:9" ht="21.75">
      <c r="A99" s="460"/>
      <c r="B99" s="287" t="s">
        <v>187</v>
      </c>
      <c r="C99" s="159">
        <v>1</v>
      </c>
      <c r="D99" s="185" t="s">
        <v>94</v>
      </c>
      <c r="E99" s="159">
        <v>375</v>
      </c>
      <c r="F99" s="159">
        <f>+C99*E99</f>
        <v>375</v>
      </c>
      <c r="G99" s="159">
        <v>100</v>
      </c>
      <c r="H99" s="159">
        <f>+G99*C99</f>
        <v>100</v>
      </c>
      <c r="I99" s="159">
        <f>+F99+H99</f>
        <v>475</v>
      </c>
    </row>
    <row r="100" spans="1:9" ht="21.75">
      <c r="A100" s="462"/>
      <c r="B100" s="285" t="s">
        <v>165</v>
      </c>
      <c r="C100" s="199">
        <v>1</v>
      </c>
      <c r="D100" s="200" t="s">
        <v>75</v>
      </c>
      <c r="E100" s="199">
        <v>4500</v>
      </c>
      <c r="F100" s="199">
        <f>+C100*E100</f>
        <v>4500</v>
      </c>
      <c r="G100" s="199">
        <v>800</v>
      </c>
      <c r="H100" s="199">
        <f>+G100*C100</f>
        <v>800</v>
      </c>
      <c r="I100" s="199">
        <f>+F100+H100</f>
        <v>5300</v>
      </c>
    </row>
    <row r="101" spans="1:9" ht="21.75">
      <c r="A101" s="353"/>
      <c r="B101" s="286" t="s">
        <v>167</v>
      </c>
      <c r="C101" s="201"/>
      <c r="D101" s="202"/>
      <c r="E101" s="201"/>
      <c r="F101" s="201"/>
      <c r="G101" s="201"/>
      <c r="H101" s="201"/>
      <c r="I101" s="201"/>
    </row>
    <row r="102" spans="1:9" ht="21.75">
      <c r="A102" s="235"/>
      <c r="B102" s="287" t="s">
        <v>204</v>
      </c>
      <c r="C102" s="159">
        <v>6</v>
      </c>
      <c r="D102" s="185" t="s">
        <v>101</v>
      </c>
      <c r="E102" s="159">
        <v>2200</v>
      </c>
      <c r="F102" s="159">
        <f>+C102*E102</f>
        <v>13200</v>
      </c>
      <c r="G102" s="159">
        <v>200</v>
      </c>
      <c r="H102" s="159">
        <f>+G102*C102</f>
        <v>1200</v>
      </c>
      <c r="I102" s="159">
        <f>+F102+H102</f>
        <v>14400</v>
      </c>
    </row>
    <row r="103" spans="1:9" ht="21.75">
      <c r="A103" s="235"/>
      <c r="B103" s="287" t="s">
        <v>166</v>
      </c>
      <c r="C103" s="159">
        <v>3</v>
      </c>
      <c r="D103" s="185" t="s">
        <v>101</v>
      </c>
      <c r="E103" s="159">
        <v>2200</v>
      </c>
      <c r="F103" s="159">
        <f>+C103*E103</f>
        <v>6600</v>
      </c>
      <c r="G103" s="159">
        <v>200</v>
      </c>
      <c r="H103" s="159">
        <f>+G103*C103</f>
        <v>600</v>
      </c>
      <c r="I103" s="159">
        <f>+F103+H103</f>
        <v>7200</v>
      </c>
    </row>
    <row r="104" spans="1:9" ht="21.75">
      <c r="A104" s="235"/>
      <c r="B104" s="484"/>
      <c r="C104" s="271"/>
      <c r="D104" s="167"/>
      <c r="E104" s="271"/>
      <c r="F104" s="271"/>
      <c r="G104" s="271"/>
      <c r="H104" s="271"/>
      <c r="I104" s="271"/>
    </row>
    <row r="105" spans="1:9" ht="21.75">
      <c r="A105" s="485"/>
      <c r="B105" s="434" t="s">
        <v>201</v>
      </c>
      <c r="C105" s="231"/>
      <c r="D105" s="235"/>
      <c r="E105" s="231"/>
      <c r="F105" s="435">
        <f>SUM(F97:F104)</f>
        <v>37675</v>
      </c>
      <c r="G105" s="231"/>
      <c r="H105" s="435">
        <f>SUM(H97:H104)</f>
        <v>6200</v>
      </c>
      <c r="I105" s="435">
        <f>SUM(I97:I104)</f>
        <v>43875</v>
      </c>
    </row>
    <row r="106" spans="1:9" ht="21.75">
      <c r="A106" s="485"/>
      <c r="B106" s="434"/>
      <c r="C106" s="231"/>
      <c r="D106" s="235"/>
      <c r="E106" s="231"/>
      <c r="F106" s="435"/>
      <c r="G106" s="231"/>
      <c r="H106" s="435"/>
      <c r="I106" s="435"/>
    </row>
    <row r="107" spans="1:9" ht="21.75">
      <c r="A107" s="486"/>
      <c r="B107" s="421" t="s">
        <v>203</v>
      </c>
      <c r="C107" s="369"/>
      <c r="D107" s="349"/>
      <c r="E107" s="369"/>
      <c r="F107" s="423">
        <f>F30+F46+F62+F71+F77+F83+F89+F95+F105</f>
        <v>792490.85</v>
      </c>
      <c r="G107" s="369"/>
      <c r="H107" s="423">
        <f>H30+H46+H62+H71+H77+H83+H89+H95+H105</f>
        <v>410355.8</v>
      </c>
      <c r="I107" s="423">
        <f>I30+I46+I62+I71+I77+I83+I89+I95+I105</f>
        <v>1202846.6500000001</v>
      </c>
    </row>
  </sheetData>
  <sheetProtection/>
  <mergeCells count="10">
    <mergeCell ref="D4:D5"/>
    <mergeCell ref="E4:F4"/>
    <mergeCell ref="G4:H4"/>
    <mergeCell ref="I4:I5"/>
    <mergeCell ref="A1:I1"/>
    <mergeCell ref="A2:I2"/>
    <mergeCell ref="A3:I3"/>
    <mergeCell ref="A4:A5"/>
    <mergeCell ref="B4:B5"/>
    <mergeCell ref="C4:C5"/>
  </mergeCells>
  <printOptions/>
  <pageMargins left="0.2755905511811024" right="0.11811023622047245" top="0.984251968503937" bottom="0.984251968503937" header="0.3937007874015748" footer="0.5118110236220472"/>
  <pageSetup horizontalDpi="600" verticalDpi="600" orientation="landscape" paperSize="9" scale="96" r:id="rId2"/>
  <headerFooter alignWithMargins="0">
    <oddHeader>&amp;L&amp;"TH Sarabun New,Regular"รายละเอียดบัญชีแสดงปริมาณวัสดุ แรงงาน และประมาณราคาค่าก่อสร้าง&amp;R&amp;"TH Sarabun New,Regular"ปร.4  &amp;P / &amp;N</oddHeader>
    <oddFooter>&amp;L&amp;"TH Sarabun New,Regular"&amp;12หมายเหตุ บัญชีปริมาณงานฉบับนี้ผู้เสนอราคาจะต้องตรวจสอบรายละเอียดจากแบบรูปรายการโดยละเอียดอีกครั้ง หากปรากฏภายหลังว่าบัญชีปริมาณงานกับแบบรูปรายการขัดแย้งกัน ให้ยึดตามแบบรูปรายการ หรือคำวินิจฉัยของผู้ว่าจ้าง</oddFooter>
  </headerFooter>
  <rowBreaks count="3" manualBreakCount="3">
    <brk id="21" max="8" man="1"/>
    <brk id="38" max="8" man="1"/>
    <brk id="71" max="8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J31"/>
  <sheetViews>
    <sheetView view="pageBreakPreview" zoomScale="89" zoomScaleSheetLayoutView="89" workbookViewId="0" topLeftCell="A1">
      <selection activeCell="N30" sqref="N30"/>
    </sheetView>
  </sheetViews>
  <sheetFormatPr defaultColWidth="11.421875" defaultRowHeight="21.75"/>
  <cols>
    <col min="1" max="1" width="8.8515625" style="504" customWidth="1"/>
    <col min="2" max="2" width="57.140625" style="487" customWidth="1"/>
    <col min="3" max="3" width="9.8515625" style="505" customWidth="1"/>
    <col min="4" max="4" width="9.8515625" style="504" customWidth="1"/>
    <col min="5" max="5" width="11.8515625" style="505" customWidth="1"/>
    <col min="6" max="6" width="13.8515625" style="505" customWidth="1"/>
    <col min="7" max="7" width="11.8515625" style="507" customWidth="1"/>
    <col min="8" max="8" width="13.8515625" style="505" customWidth="1"/>
    <col min="9" max="9" width="15.8515625" style="505" customWidth="1"/>
    <col min="10" max="10" width="20.421875" style="487" customWidth="1"/>
    <col min="11" max="16384" width="11.421875" style="487" customWidth="1"/>
  </cols>
  <sheetData>
    <row r="1" spans="1:9" ht="21.75">
      <c r="A1" s="732" t="s">
        <v>18</v>
      </c>
      <c r="B1" s="733"/>
      <c r="C1" s="733"/>
      <c r="D1" s="733"/>
      <c r="E1" s="733"/>
      <c r="F1" s="733"/>
      <c r="G1" s="733"/>
      <c r="H1" s="733"/>
      <c r="I1" s="734"/>
    </row>
    <row r="2" spans="1:9" ht="21.75">
      <c r="A2" s="735" t="str">
        <f>(สรุป!A2)</f>
        <v>ปรับปรุงศูนย์เวชศาสตร์ฟื้นฟูและดูแลผู้สูงวัย</v>
      </c>
      <c r="B2" s="736"/>
      <c r="C2" s="736"/>
      <c r="D2" s="736"/>
      <c r="E2" s="736"/>
      <c r="F2" s="736"/>
      <c r="G2" s="736"/>
      <c r="H2" s="736"/>
      <c r="I2" s="737"/>
    </row>
    <row r="3" spans="1:9" ht="21.75">
      <c r="A3" s="738" t="str">
        <f>(สรุป!A3)</f>
        <v>มหาวิทยาลัยราชภัฏอุตรดิตถ์</v>
      </c>
      <c r="B3" s="739"/>
      <c r="C3" s="739"/>
      <c r="D3" s="739"/>
      <c r="E3" s="739"/>
      <c r="F3" s="739"/>
      <c r="G3" s="739"/>
      <c r="H3" s="739"/>
      <c r="I3" s="740"/>
    </row>
    <row r="4" spans="1:9" ht="21.75">
      <c r="A4" s="728" t="s">
        <v>0</v>
      </c>
      <c r="B4" s="729" t="s">
        <v>1</v>
      </c>
      <c r="C4" s="730" t="s">
        <v>2</v>
      </c>
      <c r="D4" s="728" t="s">
        <v>3</v>
      </c>
      <c r="E4" s="716" t="s">
        <v>4</v>
      </c>
      <c r="F4" s="717"/>
      <c r="G4" s="718" t="s">
        <v>5</v>
      </c>
      <c r="H4" s="717"/>
      <c r="I4" s="730" t="s">
        <v>6</v>
      </c>
    </row>
    <row r="5" spans="1:9" ht="21.75">
      <c r="A5" s="700"/>
      <c r="B5" s="702"/>
      <c r="C5" s="703"/>
      <c r="D5" s="700"/>
      <c r="E5" s="70" t="s">
        <v>7</v>
      </c>
      <c r="F5" s="70" t="s">
        <v>8</v>
      </c>
      <c r="G5" s="310" t="s">
        <v>7</v>
      </c>
      <c r="H5" s="70" t="s">
        <v>8</v>
      </c>
      <c r="I5" s="703"/>
    </row>
    <row r="6" spans="1:9" ht="21.75" customHeight="1">
      <c r="A6" s="488">
        <v>8</v>
      </c>
      <c r="B6" s="393" t="s">
        <v>179</v>
      </c>
      <c r="C6" s="457"/>
      <c r="D6" s="457"/>
      <c r="E6" s="457"/>
      <c r="F6" s="457"/>
      <c r="G6" s="489"/>
      <c r="H6" s="490"/>
      <c r="I6" s="457"/>
    </row>
    <row r="7" spans="1:9" s="492" customFormat="1" ht="21.75" customHeight="1">
      <c r="A7" s="458">
        <v>8.01</v>
      </c>
      <c r="B7" s="230" t="s">
        <v>184</v>
      </c>
      <c r="C7" s="231"/>
      <c r="D7" s="231"/>
      <c r="E7" s="231"/>
      <c r="F7" s="231"/>
      <c r="G7" s="491"/>
      <c r="H7" s="473"/>
      <c r="I7" s="231"/>
    </row>
    <row r="8" spans="1:10" s="492" customFormat="1" ht="21.75" customHeight="1">
      <c r="A8" s="459"/>
      <c r="B8" s="206" t="s">
        <v>168</v>
      </c>
      <c r="C8" s="159">
        <v>30</v>
      </c>
      <c r="D8" s="185" t="s">
        <v>169</v>
      </c>
      <c r="E8" s="159"/>
      <c r="F8" s="159">
        <f aca="true" t="shared" si="0" ref="F8:F19">+C8*E8</f>
        <v>0</v>
      </c>
      <c r="G8" s="311">
        <v>200</v>
      </c>
      <c r="H8" s="313">
        <f aca="true" t="shared" si="1" ref="H8:H19">+G8*C8</f>
        <v>6000</v>
      </c>
      <c r="I8" s="159">
        <f aca="true" t="shared" si="2" ref="I8:I17">+F8+H8</f>
        <v>6000</v>
      </c>
      <c r="J8" s="493"/>
    </row>
    <row r="9" spans="1:10" s="492" customFormat="1" ht="21.75" customHeight="1">
      <c r="A9" s="459"/>
      <c r="B9" s="206" t="s">
        <v>185</v>
      </c>
      <c r="C9" s="159">
        <v>1</v>
      </c>
      <c r="D9" s="185" t="s">
        <v>94</v>
      </c>
      <c r="E9" s="159">
        <v>1500</v>
      </c>
      <c r="F9" s="159">
        <f t="shared" si="0"/>
        <v>1500</v>
      </c>
      <c r="G9" s="311">
        <v>0</v>
      </c>
      <c r="H9" s="313">
        <f t="shared" si="1"/>
        <v>0</v>
      </c>
      <c r="I9" s="159">
        <f t="shared" si="2"/>
        <v>1500</v>
      </c>
      <c r="J9" s="493"/>
    </row>
    <row r="10" spans="1:10" s="492" customFormat="1" ht="21.75" customHeight="1">
      <c r="A10" s="459"/>
      <c r="B10" s="206" t="s">
        <v>170</v>
      </c>
      <c r="C10" s="159">
        <v>480</v>
      </c>
      <c r="D10" s="185" t="s">
        <v>181</v>
      </c>
      <c r="E10" s="159">
        <v>9.5</v>
      </c>
      <c r="F10" s="159">
        <f t="shared" si="0"/>
        <v>4560</v>
      </c>
      <c r="G10" s="311">
        <v>6</v>
      </c>
      <c r="H10" s="313">
        <f t="shared" si="1"/>
        <v>2880</v>
      </c>
      <c r="I10" s="159">
        <f t="shared" si="2"/>
        <v>7440</v>
      </c>
      <c r="J10" s="493"/>
    </row>
    <row r="11" spans="1:9" s="492" customFormat="1" ht="21.75" customHeight="1">
      <c r="A11" s="459"/>
      <c r="B11" s="206" t="s">
        <v>171</v>
      </c>
      <c r="C11" s="159">
        <v>204</v>
      </c>
      <c r="D11" s="185" t="s">
        <v>181</v>
      </c>
      <c r="E11" s="159">
        <v>3</v>
      </c>
      <c r="F11" s="159">
        <f t="shared" si="0"/>
        <v>612</v>
      </c>
      <c r="G11" s="311">
        <v>2</v>
      </c>
      <c r="H11" s="313">
        <f t="shared" si="1"/>
        <v>408</v>
      </c>
      <c r="I11" s="159">
        <f t="shared" si="2"/>
        <v>1020</v>
      </c>
    </row>
    <row r="12" spans="1:9" s="492" customFormat="1" ht="21.75" customHeight="1">
      <c r="A12" s="459"/>
      <c r="B12" s="206" t="s">
        <v>172</v>
      </c>
      <c r="C12" s="159">
        <v>30</v>
      </c>
      <c r="D12" s="185" t="s">
        <v>141</v>
      </c>
      <c r="E12" s="159">
        <v>72</v>
      </c>
      <c r="F12" s="159">
        <f t="shared" si="0"/>
        <v>2160</v>
      </c>
      <c r="G12" s="311">
        <v>35</v>
      </c>
      <c r="H12" s="313">
        <f t="shared" si="1"/>
        <v>1050</v>
      </c>
      <c r="I12" s="159">
        <f t="shared" si="2"/>
        <v>3210</v>
      </c>
    </row>
    <row r="13" spans="1:9" s="492" customFormat="1" ht="21.75" customHeight="1">
      <c r="A13" s="459"/>
      <c r="B13" s="206" t="s">
        <v>173</v>
      </c>
      <c r="C13" s="159">
        <v>1</v>
      </c>
      <c r="D13" s="185" t="s">
        <v>76</v>
      </c>
      <c r="E13" s="159">
        <v>2142</v>
      </c>
      <c r="F13" s="159">
        <f t="shared" si="0"/>
        <v>2142</v>
      </c>
      <c r="G13" s="311"/>
      <c r="H13" s="313">
        <f t="shared" si="1"/>
        <v>0</v>
      </c>
      <c r="I13" s="159">
        <f t="shared" si="2"/>
        <v>2142</v>
      </c>
    </row>
    <row r="14" spans="1:9" s="492" customFormat="1" ht="21.75" customHeight="1">
      <c r="A14" s="459"/>
      <c r="B14" s="206" t="s">
        <v>174</v>
      </c>
      <c r="C14" s="159">
        <v>12</v>
      </c>
      <c r="D14" s="185" t="s">
        <v>75</v>
      </c>
      <c r="E14" s="159">
        <v>860</v>
      </c>
      <c r="F14" s="159">
        <f t="shared" si="0"/>
        <v>10320</v>
      </c>
      <c r="G14" s="311">
        <v>350</v>
      </c>
      <c r="H14" s="313">
        <f t="shared" si="1"/>
        <v>4200</v>
      </c>
      <c r="I14" s="159">
        <f t="shared" si="2"/>
        <v>14520</v>
      </c>
    </row>
    <row r="15" spans="1:9" s="492" customFormat="1" ht="21.75" customHeight="1">
      <c r="A15" s="459"/>
      <c r="B15" s="206" t="s">
        <v>495</v>
      </c>
      <c r="C15" s="159">
        <v>3</v>
      </c>
      <c r="D15" s="185" t="s">
        <v>75</v>
      </c>
      <c r="E15" s="159">
        <v>925</v>
      </c>
      <c r="F15" s="159">
        <f t="shared" si="0"/>
        <v>2775</v>
      </c>
      <c r="G15" s="311">
        <v>350</v>
      </c>
      <c r="H15" s="313">
        <f>+G15*C15</f>
        <v>1050</v>
      </c>
      <c r="I15" s="159">
        <f>+F15+H15</f>
        <v>3825</v>
      </c>
    </row>
    <row r="16" spans="1:9" s="492" customFormat="1" ht="21.75" customHeight="1">
      <c r="A16" s="459"/>
      <c r="B16" s="206" t="s">
        <v>175</v>
      </c>
      <c r="C16" s="159">
        <v>2</v>
      </c>
      <c r="D16" s="185" t="s">
        <v>176</v>
      </c>
      <c r="E16" s="159">
        <v>990</v>
      </c>
      <c r="F16" s="159">
        <f t="shared" si="0"/>
        <v>1980</v>
      </c>
      <c r="G16" s="311">
        <v>350</v>
      </c>
      <c r="H16" s="313">
        <f t="shared" si="1"/>
        <v>700</v>
      </c>
      <c r="I16" s="159">
        <f>+F16+H16</f>
        <v>2680</v>
      </c>
    </row>
    <row r="17" spans="1:9" s="492" customFormat="1" ht="21.75" customHeight="1">
      <c r="A17" s="459"/>
      <c r="B17" s="206" t="s">
        <v>496</v>
      </c>
      <c r="C17" s="159">
        <v>13</v>
      </c>
      <c r="D17" s="185" t="s">
        <v>75</v>
      </c>
      <c r="E17" s="159">
        <v>2300</v>
      </c>
      <c r="F17" s="159">
        <f t="shared" si="0"/>
        <v>29900</v>
      </c>
      <c r="G17" s="311">
        <v>450</v>
      </c>
      <c r="H17" s="313">
        <f t="shared" si="1"/>
        <v>5850</v>
      </c>
      <c r="I17" s="159">
        <f t="shared" si="2"/>
        <v>35750</v>
      </c>
    </row>
    <row r="18" spans="1:9" s="492" customFormat="1" ht="21.75" customHeight="1">
      <c r="A18" s="459"/>
      <c r="B18" s="206" t="s">
        <v>177</v>
      </c>
      <c r="C18" s="159">
        <v>30</v>
      </c>
      <c r="D18" s="185" t="s">
        <v>181</v>
      </c>
      <c r="E18" s="159">
        <v>85</v>
      </c>
      <c r="F18" s="159">
        <f t="shared" si="0"/>
        <v>2550</v>
      </c>
      <c r="G18" s="311">
        <v>35</v>
      </c>
      <c r="H18" s="313">
        <f t="shared" si="1"/>
        <v>1050</v>
      </c>
      <c r="I18" s="159">
        <f>+F18+H18</f>
        <v>3600</v>
      </c>
    </row>
    <row r="19" spans="1:9" s="492" customFormat="1" ht="21.75" customHeight="1">
      <c r="A19" s="459"/>
      <c r="B19" s="206" t="s">
        <v>178</v>
      </c>
      <c r="C19" s="159">
        <v>12</v>
      </c>
      <c r="D19" s="185" t="s">
        <v>141</v>
      </c>
      <c r="E19" s="159">
        <v>320</v>
      </c>
      <c r="F19" s="159">
        <f t="shared" si="0"/>
        <v>3840</v>
      </c>
      <c r="G19" s="311">
        <v>300</v>
      </c>
      <c r="H19" s="313">
        <f t="shared" si="1"/>
        <v>3600</v>
      </c>
      <c r="I19" s="159">
        <f>+F19+H19</f>
        <v>7440</v>
      </c>
    </row>
    <row r="20" spans="1:9" ht="21.75">
      <c r="A20" s="464"/>
      <c r="B20" s="421" t="s">
        <v>186</v>
      </c>
      <c r="C20" s="369"/>
      <c r="D20" s="369"/>
      <c r="E20" s="369"/>
      <c r="F20" s="423">
        <f>SUM(F8:F19)</f>
        <v>62339</v>
      </c>
      <c r="G20" s="494"/>
      <c r="H20" s="495">
        <f>SUM(H8:H19)</f>
        <v>26788</v>
      </c>
      <c r="I20" s="423">
        <f>SUM(I8:I19)</f>
        <v>89127</v>
      </c>
    </row>
    <row r="21" spans="1:9" ht="21.75">
      <c r="A21" s="496">
        <v>8.02</v>
      </c>
      <c r="B21" s="284" t="s">
        <v>705</v>
      </c>
      <c r="C21" s="497"/>
      <c r="D21" s="497"/>
      <c r="E21" s="497"/>
      <c r="F21" s="498"/>
      <c r="G21" s="499"/>
      <c r="H21" s="500"/>
      <c r="I21" s="498"/>
    </row>
    <row r="22" spans="1:10" ht="21.75">
      <c r="A22" s="306"/>
      <c r="B22" s="307" t="s">
        <v>704</v>
      </c>
      <c r="C22" s="308">
        <v>1</v>
      </c>
      <c r="D22" s="309" t="s">
        <v>94</v>
      </c>
      <c r="E22" s="308"/>
      <c r="F22" s="308">
        <v>40500</v>
      </c>
      <c r="G22" s="312"/>
      <c r="H22" s="314">
        <v>16650</v>
      </c>
      <c r="I22" s="308">
        <f>SUM(F22:H22)</f>
        <v>57150</v>
      </c>
      <c r="J22" s="501"/>
    </row>
    <row r="23" spans="1:10" ht="21.75">
      <c r="A23" s="167"/>
      <c r="B23" s="434" t="s">
        <v>706</v>
      </c>
      <c r="C23" s="231"/>
      <c r="D23" s="231"/>
      <c r="E23" s="231"/>
      <c r="F23" s="435">
        <f>F22</f>
        <v>40500</v>
      </c>
      <c r="G23" s="491"/>
      <c r="H23" s="502">
        <f>H22</f>
        <v>16650</v>
      </c>
      <c r="I23" s="435">
        <f>I22</f>
        <v>57150</v>
      </c>
      <c r="J23" s="501"/>
    </row>
    <row r="24" spans="1:9" ht="21.75">
      <c r="A24" s="167"/>
      <c r="B24" s="503"/>
      <c r="C24" s="231"/>
      <c r="D24" s="231"/>
      <c r="E24" s="231"/>
      <c r="F24" s="231"/>
      <c r="G24" s="491"/>
      <c r="H24" s="473"/>
      <c r="I24" s="231"/>
    </row>
    <row r="25" spans="1:9" ht="21.75">
      <c r="A25" s="332"/>
      <c r="B25" s="349" t="s">
        <v>497</v>
      </c>
      <c r="C25" s="369"/>
      <c r="D25" s="369"/>
      <c r="E25" s="369"/>
      <c r="F25" s="423">
        <f>F20+F23</f>
        <v>102839</v>
      </c>
      <c r="G25" s="494"/>
      <c r="H25" s="495">
        <f>H20+H23</f>
        <v>43438</v>
      </c>
      <c r="I25" s="423">
        <f>I20+I23</f>
        <v>146277</v>
      </c>
    </row>
    <row r="31" ht="21">
      <c r="G31" s="506"/>
    </row>
  </sheetData>
  <sheetProtection/>
  <mergeCells count="10">
    <mergeCell ref="D4:D5"/>
    <mergeCell ref="E4:F4"/>
    <mergeCell ref="G4:H4"/>
    <mergeCell ref="I4:I5"/>
    <mergeCell ref="A1:I1"/>
    <mergeCell ref="A2:I2"/>
    <mergeCell ref="A3:I3"/>
    <mergeCell ref="A4:A5"/>
    <mergeCell ref="B4:B5"/>
    <mergeCell ref="C4:C5"/>
  </mergeCells>
  <printOptions/>
  <pageMargins left="0.2755905511811024" right="0.11811023622047245" top="0.984251968503937" bottom="0.984251968503937" header="0.3937007874015748" footer="0.5118110236220472"/>
  <pageSetup horizontalDpi="600" verticalDpi="600" orientation="landscape" paperSize="9" r:id="rId2"/>
  <headerFooter alignWithMargins="0">
    <oddHeader>&amp;L&amp;"TH Sarabun New,Regular"รายละเอียดบัญชีแสดงปริมาณวัสดุ แรงงาน และประมาณราคาค่าก่อสร้าง&amp;R&amp;"TH Sarabun New,Regular"ปร.4  &amp;P / &amp;N</oddHeader>
    <oddFooter>&amp;L&amp;"TH Sarabun New,Regular"&amp;12หมายเหตุ บัญชีปริมาณงานฉบับนี้ผู้เสนอราคาจะต้องตรวจสอบรายละเอียดจากแบบรูปรายการโดยละเอียดอีกครั้ง หากปรากฏภายหลังว่าบัญชีปริมาณงานกับแบบรูปรายการขัดแย้งกัน ให้ยึดตามแบบรูปรายการ หรือคำวินิจฉัยของผู้ว่าจ้าง</oddFooter>
  </headerFooter>
  <rowBreaks count="1" manualBreakCount="1">
    <brk id="20" max="8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/>
  <dimension ref="B1:Z114"/>
  <sheetViews>
    <sheetView zoomScaleSheetLayoutView="100" zoomScalePageLayoutView="0" workbookViewId="0" topLeftCell="A1">
      <selection activeCell="R12" sqref="R12"/>
    </sheetView>
  </sheetViews>
  <sheetFormatPr defaultColWidth="11.421875" defaultRowHeight="21.75"/>
  <cols>
    <col min="1" max="1" width="11.421875" style="1" customWidth="1"/>
    <col min="2" max="2" width="7.8515625" style="1" customWidth="1"/>
    <col min="3" max="3" width="14.8515625" style="1" customWidth="1"/>
    <col min="4" max="7" width="11.140625" style="1" customWidth="1"/>
    <col min="8" max="9" width="12.140625" style="1" customWidth="1"/>
    <col min="10" max="11" width="7.8515625" style="1" customWidth="1"/>
    <col min="12" max="16384" width="11.421875" style="1" customWidth="1"/>
  </cols>
  <sheetData>
    <row r="1" spans="2:11" ht="26.25">
      <c r="B1" s="749" t="s">
        <v>58</v>
      </c>
      <c r="C1" s="749"/>
      <c r="D1" s="749"/>
      <c r="E1" s="749"/>
      <c r="F1" s="749"/>
      <c r="G1" s="749"/>
      <c r="H1" s="749"/>
      <c r="I1" s="749"/>
      <c r="J1" s="749"/>
      <c r="K1" s="749"/>
    </row>
    <row r="2" spans="2:11" ht="23.25">
      <c r="B2" s="776" t="str">
        <f>สรุป!A2</f>
        <v>ปรับปรุงศูนย์เวชศาสตร์ฟื้นฟูและดูแลผู้สูงวัย</v>
      </c>
      <c r="C2" s="776"/>
      <c r="D2" s="776"/>
      <c r="E2" s="776"/>
      <c r="F2" s="776"/>
      <c r="G2" s="776"/>
      <c r="H2" s="776"/>
      <c r="I2" s="776"/>
      <c r="J2" s="776"/>
      <c r="K2" s="776"/>
    </row>
    <row r="3" spans="2:11" ht="23.25">
      <c r="B3" s="776" t="str">
        <f>('[3]สรุป'!A3)</f>
        <v>มหาวิทยาลัยราชภัฏอุตรดิตถ์</v>
      </c>
      <c r="C3" s="776"/>
      <c r="D3" s="776"/>
      <c r="E3" s="776"/>
      <c r="F3" s="776"/>
      <c r="G3" s="776"/>
      <c r="H3" s="776"/>
      <c r="I3" s="776"/>
      <c r="J3" s="776"/>
      <c r="K3" s="776"/>
    </row>
    <row r="4" spans="2:11" ht="15" customHeight="1"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2:11" ht="16.5" customHeight="1">
      <c r="B5" s="777" t="s">
        <v>51</v>
      </c>
      <c r="C5" s="778"/>
      <c r="D5" s="778"/>
      <c r="E5" s="15">
        <f>SUM(สรุป!F8)/1000000</f>
        <v>10.611121440000002</v>
      </c>
      <c r="F5" s="16" t="s">
        <v>28</v>
      </c>
      <c r="G5" s="17"/>
      <c r="H5" s="17"/>
      <c r="I5" s="17"/>
      <c r="J5" s="18"/>
      <c r="K5" s="19"/>
    </row>
    <row r="6" spans="2:11" ht="18" customHeight="1">
      <c r="B6" s="20"/>
      <c r="C6" s="21" t="s">
        <v>32</v>
      </c>
      <c r="D6" s="21"/>
      <c r="E6" s="21">
        <f>SUM(E41)</f>
        <v>0</v>
      </c>
      <c r="F6" s="22" t="s">
        <v>33</v>
      </c>
      <c r="G6" s="21" t="s">
        <v>34</v>
      </c>
      <c r="H6" s="23"/>
      <c r="I6" s="21"/>
      <c r="J6" s="21">
        <f>SUM(J41)</f>
        <v>7</v>
      </c>
      <c r="K6" s="24" t="s">
        <v>35</v>
      </c>
    </row>
    <row r="7" spans="2:11" ht="21" customHeight="1">
      <c r="B7" s="25"/>
      <c r="C7" s="26" t="s">
        <v>36</v>
      </c>
      <c r="D7" s="26"/>
      <c r="E7" s="26">
        <f>SUM(E42)</f>
        <v>0</v>
      </c>
      <c r="F7" s="27" t="s">
        <v>33</v>
      </c>
      <c r="G7" s="28" t="s">
        <v>37</v>
      </c>
      <c r="H7" s="26"/>
      <c r="I7" s="26"/>
      <c r="J7" s="26">
        <f>SUM(J42)</f>
        <v>7</v>
      </c>
      <c r="K7" s="29" t="s">
        <v>33</v>
      </c>
    </row>
    <row r="8" spans="2:11" ht="20.25" customHeight="1">
      <c r="B8" s="750" t="s">
        <v>39</v>
      </c>
      <c r="C8" s="779"/>
      <c r="D8" s="750" t="s">
        <v>23</v>
      </c>
      <c r="E8" s="752"/>
      <c r="F8" s="752"/>
      <c r="G8" s="751"/>
      <c r="H8" s="2" t="s">
        <v>40</v>
      </c>
      <c r="I8" s="4" t="s">
        <v>41</v>
      </c>
      <c r="J8" s="750" t="s">
        <v>38</v>
      </c>
      <c r="K8" s="751"/>
    </row>
    <row r="9" spans="2:11" ht="21.75" customHeight="1">
      <c r="B9" s="759" t="s">
        <v>28</v>
      </c>
      <c r="C9" s="774"/>
      <c r="D9" s="761" t="s">
        <v>33</v>
      </c>
      <c r="E9" s="762"/>
      <c r="F9" s="762"/>
      <c r="G9" s="763"/>
      <c r="H9" s="5" t="s">
        <v>43</v>
      </c>
      <c r="I9" s="6" t="s">
        <v>44</v>
      </c>
      <c r="J9" s="759"/>
      <c r="K9" s="760"/>
    </row>
    <row r="10" spans="2:11" ht="21.75" customHeight="1">
      <c r="B10" s="759"/>
      <c r="C10" s="774"/>
      <c r="D10" s="4" t="s">
        <v>42</v>
      </c>
      <c r="E10" s="3" t="s">
        <v>42</v>
      </c>
      <c r="F10" s="4" t="s">
        <v>42</v>
      </c>
      <c r="G10" s="4" t="s">
        <v>8</v>
      </c>
      <c r="H10" s="30"/>
      <c r="I10" s="7"/>
      <c r="J10" s="759"/>
      <c r="K10" s="760"/>
    </row>
    <row r="11" spans="2:11" ht="20.25" customHeight="1">
      <c r="B11" s="765"/>
      <c r="C11" s="767"/>
      <c r="D11" s="9" t="s">
        <v>45</v>
      </c>
      <c r="E11" s="10" t="s">
        <v>46</v>
      </c>
      <c r="F11" s="9" t="s">
        <v>47</v>
      </c>
      <c r="G11" s="9" t="s">
        <v>48</v>
      </c>
      <c r="H11" s="8"/>
      <c r="I11" s="11"/>
      <c r="J11" s="765"/>
      <c r="K11" s="780"/>
    </row>
    <row r="12" spans="2:11" ht="19.5" customHeight="1">
      <c r="B12" s="31" t="s">
        <v>50</v>
      </c>
      <c r="C12" s="31">
        <f>(IF(OR(E5=C47,E5&lt;C47),E5,(IF(AND(E5&gt;C47,(OR(E5&lt;C69,E5=C69))),VLOOKUP(E5,C47:F69,1),E5))))</f>
        <v>10</v>
      </c>
      <c r="D12" s="32">
        <f>(IF(OR(E5=C47,E5&lt;C47),D47,(IF(AND(E5&gt;C47,(OR(E5&lt;C69,E5=C69))),VLOOKUP(E5,C47:F69,2),D70))))</f>
        <v>14.9659</v>
      </c>
      <c r="E12" s="33">
        <f>(IF(OR(E5=C47,E5&lt;C47),E47,(IF(AND(E5&gt;C47,(OR(E5&lt;C69,E5=C69))),VLOOKUP(E5,C47:F69,3),E70))))</f>
        <v>1.1666</v>
      </c>
      <c r="F12" s="32">
        <f>(IF(OR(E5=C47,E5&lt;C47),F47,(IF(AND(E5&gt;C47,(OR(E5&lt;C69,E5=C69))),VLOOKUP(E5,C47:F69,4),F70))))</f>
        <v>5</v>
      </c>
      <c r="G12" s="32">
        <f>(D12+E12+F12)</f>
        <v>21.1325</v>
      </c>
      <c r="H12" s="32">
        <f>1+(G12/100)</f>
        <v>1.211325</v>
      </c>
      <c r="I12" s="32">
        <f>1+($J$42/100)</f>
        <v>1.07</v>
      </c>
      <c r="J12" s="768">
        <f>(H12*I12)</f>
        <v>1.29611775</v>
      </c>
      <c r="K12" s="768"/>
    </row>
    <row r="13" spans="2:11" ht="20.25" customHeight="1">
      <c r="B13" s="31" t="s">
        <v>49</v>
      </c>
      <c r="C13" s="31">
        <f ca="1">(IF(OR(E5=C47,E5&lt;C47),E5,(IF(AND(E5&gt;C47,(OR(E5&lt;C69,E5=C69))),(IF(VLOOKUP(E5,C47:F69,1)=E5,E5,OFFSET(C47:C69,MATCH(C12,C47:C69),0,1,1))),E5))))</f>
        <v>15</v>
      </c>
      <c r="D13" s="32">
        <f ca="1">(IF(OR(E5=C47,E5&lt;C47),D12,(IF(AND(E5&gt;C47,(OR(E5&lt;C69,E5=C69))),(IF(VLOOKUP(E5,C47:F69,1)=E5,D12,OFFSET(C47:C69,MATCH(C12,C47:C69),1,1,1))),D12))))</f>
        <v>11.7</v>
      </c>
      <c r="E13" s="33">
        <f ca="1">(IF(OR(E5=C47,E5&lt;C47),E12,(IF(AND(E5&gt;C47,(OR(E5&lt;C69,E5=C69))),(IF(VLOOKUP(E5,C47:F69,1)=E5,E12,OFFSET(C47:C69,MATCH(C12,C47:C69),2,1,1))),E12))))</f>
        <v>1.1666</v>
      </c>
      <c r="F13" s="32">
        <f ca="1">(IF(OR(E5=C47,E5&lt;C47),F12,(IF(AND(E5&gt;C47,(OR(E5&lt;C69,E5=C69))),(IF(VLOOKUP(E5,C47:F69,1)=E5,F12,OFFSET(C47:C69,MATCH(C12,C47:C69),3,1,1))),F12))))</f>
        <v>5</v>
      </c>
      <c r="G13" s="32">
        <f>(D13+E13+F13)</f>
        <v>17.8666</v>
      </c>
      <c r="H13" s="32">
        <f>1+(G13/100)</f>
        <v>1.178666</v>
      </c>
      <c r="I13" s="32">
        <f>1+($J$42/100)</f>
        <v>1.07</v>
      </c>
      <c r="J13" s="769">
        <f>(H13*I13)</f>
        <v>1.26117262</v>
      </c>
      <c r="K13" s="770"/>
    </row>
    <row r="14" spans="2:11" ht="17.25" customHeight="1">
      <c r="B14" s="34" t="s">
        <v>57</v>
      </c>
      <c r="C14" s="35">
        <f>SUM(E5)</f>
        <v>10.611121440000002</v>
      </c>
      <c r="D14" s="36">
        <f>IF(C12=C13,D13,(D13-(((C13-C14)*(D13-D12))/(C13-C12))))</f>
        <v>14.566727697820799</v>
      </c>
      <c r="E14" s="36">
        <f>IF(C12=C13,E13,(E13-(((C13-C14)*(E13-E12))/(C13-C12))))</f>
        <v>1.1666</v>
      </c>
      <c r="F14" s="36">
        <f>IF(C12=C13,F13,(F13-(((C13-C14)*(F13-F12))/(C13-C12))))</f>
        <v>5</v>
      </c>
      <c r="G14" s="36">
        <f>SUM(D14:F14)</f>
        <v>20.733327697820798</v>
      </c>
      <c r="H14" s="36">
        <f>1+(G14/100)</f>
        <v>1.207333276978208</v>
      </c>
      <c r="I14" s="36">
        <f>1+($J$42/100)</f>
        <v>1.07</v>
      </c>
      <c r="J14" s="771">
        <f>(H14*I14)</f>
        <v>1.2918466063666825</v>
      </c>
      <c r="K14" s="772"/>
    </row>
    <row r="15" spans="2:12" ht="18.75" customHeight="1">
      <c r="B15" s="37"/>
      <c r="C15" s="38"/>
      <c r="D15" s="39"/>
      <c r="E15" s="39"/>
      <c r="F15" s="39"/>
      <c r="G15" s="39"/>
      <c r="H15" s="39"/>
      <c r="I15" s="39"/>
      <c r="J15" s="39"/>
      <c r="K15" s="39"/>
      <c r="L15" s="40"/>
    </row>
    <row r="16" spans="2:12" ht="20.25" customHeight="1">
      <c r="B16" s="37"/>
      <c r="C16" s="41"/>
      <c r="D16" s="42"/>
      <c r="E16" s="42"/>
      <c r="F16" s="42"/>
      <c r="G16" s="42"/>
      <c r="H16" s="42"/>
      <c r="I16" s="42"/>
      <c r="J16" s="773">
        <f>IF(IF(C12=C13,J13,(J13-(((C13-C14)*(J13-J12))/(C13-C12))))=J14,"","Try again")</f>
      </c>
      <c r="K16" s="773"/>
      <c r="L16" s="40"/>
    </row>
    <row r="17" spans="2:11" ht="18.75" customHeight="1">
      <c r="B17" s="37"/>
      <c r="C17" s="43" t="s">
        <v>56</v>
      </c>
      <c r="D17" s="42"/>
      <c r="E17" s="42"/>
      <c r="F17" s="42"/>
      <c r="G17" s="42"/>
      <c r="H17" s="44">
        <f>SUM(E5)*1000000</f>
        <v>10611121.440000001</v>
      </c>
      <c r="I17" s="39" t="s">
        <v>10</v>
      </c>
      <c r="J17" s="42"/>
      <c r="K17" s="42"/>
    </row>
    <row r="18" spans="2:11" ht="19.5" customHeight="1">
      <c r="B18" s="37"/>
      <c r="C18" s="45" t="s">
        <v>61</v>
      </c>
      <c r="D18" s="46" t="s">
        <v>59</v>
      </c>
      <c r="E18" s="47"/>
      <c r="F18" s="47"/>
      <c r="G18" s="47"/>
      <c r="H18" s="48">
        <f>SUM(D14)</f>
        <v>14.566727697820799</v>
      </c>
      <c r="I18" s="49" t="s">
        <v>33</v>
      </c>
      <c r="J18" s="47"/>
      <c r="K18" s="42"/>
    </row>
    <row r="19" spans="2:11" ht="19.5" customHeight="1">
      <c r="B19" s="37"/>
      <c r="C19" s="45" t="s">
        <v>61</v>
      </c>
      <c r="D19" s="46" t="s">
        <v>29</v>
      </c>
      <c r="E19" s="47"/>
      <c r="F19" s="47"/>
      <c r="G19" s="47"/>
      <c r="H19" s="48">
        <f>SUM(E14)</f>
        <v>1.1666</v>
      </c>
      <c r="I19" s="49" t="s">
        <v>33</v>
      </c>
      <c r="J19" s="47"/>
      <c r="K19" s="42"/>
    </row>
    <row r="20" spans="2:11" ht="20.25" customHeight="1">
      <c r="B20" s="37"/>
      <c r="C20" s="45" t="s">
        <v>61</v>
      </c>
      <c r="D20" s="46" t="s">
        <v>30</v>
      </c>
      <c r="E20" s="47"/>
      <c r="F20" s="47"/>
      <c r="G20" s="47"/>
      <c r="H20" s="48">
        <f>SUM(F14)</f>
        <v>5</v>
      </c>
      <c r="I20" s="49" t="s">
        <v>33</v>
      </c>
      <c r="J20" s="47"/>
      <c r="K20" s="42"/>
    </row>
    <row r="21" spans="2:11" ht="19.5" customHeight="1">
      <c r="B21" s="37"/>
      <c r="C21" s="45" t="s">
        <v>61</v>
      </c>
      <c r="D21" s="46" t="s">
        <v>60</v>
      </c>
      <c r="E21" s="47"/>
      <c r="F21" s="47"/>
      <c r="G21" s="47"/>
      <c r="H21" s="48">
        <f>SUM(J7)</f>
        <v>7</v>
      </c>
      <c r="I21" s="49" t="s">
        <v>33</v>
      </c>
      <c r="J21" s="47"/>
      <c r="K21" s="42"/>
    </row>
    <row r="22" spans="2:11" ht="18.75" customHeight="1">
      <c r="B22" s="50"/>
      <c r="C22" s="45" t="s">
        <v>61</v>
      </c>
      <c r="D22" s="51" t="s">
        <v>66</v>
      </c>
      <c r="E22" s="52"/>
      <c r="F22" s="52"/>
      <c r="G22" s="52"/>
      <c r="H22" s="48">
        <f>ROUNDDOWN(J14,4)</f>
        <v>1.2918</v>
      </c>
      <c r="I22" s="49" t="s">
        <v>33</v>
      </c>
      <c r="J22" s="52"/>
      <c r="K22" s="50"/>
    </row>
    <row r="23" spans="2:11" ht="18" customHeight="1">
      <c r="B23" s="21"/>
      <c r="C23" s="52"/>
      <c r="D23" s="51"/>
      <c r="E23" s="52"/>
      <c r="F23" s="52"/>
      <c r="G23" s="52"/>
      <c r="H23" s="52"/>
      <c r="I23" s="52"/>
      <c r="J23" s="52"/>
      <c r="K23" s="50"/>
    </row>
    <row r="24" spans="2:11" ht="19.5" customHeight="1">
      <c r="B24" s="50"/>
      <c r="C24" s="50"/>
      <c r="D24" s="53"/>
      <c r="E24" s="50"/>
      <c r="F24" s="50"/>
      <c r="G24" s="50"/>
      <c r="H24" s="54"/>
      <c r="I24" s="50"/>
      <c r="J24" s="50"/>
      <c r="K24" s="50"/>
    </row>
    <row r="25" spans="2:14" ht="19.5" customHeight="1">
      <c r="B25" s="50"/>
      <c r="C25" s="50"/>
      <c r="D25" s="50"/>
      <c r="E25" s="50"/>
      <c r="F25" s="50"/>
      <c r="G25" s="317"/>
      <c r="H25" s="317"/>
      <c r="I25" s="50"/>
      <c r="J25" s="50"/>
      <c r="K25" s="50"/>
      <c r="M25" s="775"/>
      <c r="N25" s="775"/>
    </row>
    <row r="26" spans="2:11" ht="20.25" customHeight="1">
      <c r="B26" s="50"/>
      <c r="C26" s="50"/>
      <c r="D26" s="50"/>
      <c r="E26" s="50"/>
      <c r="F26" s="50"/>
      <c r="G26" s="50"/>
      <c r="H26" s="50"/>
      <c r="I26" s="50"/>
      <c r="J26" s="50"/>
      <c r="K26" s="50"/>
    </row>
    <row r="27" spans="2:11" ht="20.25" customHeight="1">
      <c r="B27" s="50"/>
      <c r="C27" s="50"/>
      <c r="D27" s="50"/>
      <c r="E27" s="50"/>
      <c r="F27" s="50"/>
      <c r="G27" s="50"/>
      <c r="H27" s="50"/>
      <c r="I27" s="50"/>
      <c r="J27" s="50"/>
      <c r="K27" s="50"/>
    </row>
    <row r="28" spans="2:11" ht="20.25" customHeight="1">
      <c r="B28" s="50"/>
      <c r="C28" s="50"/>
      <c r="D28" s="50"/>
      <c r="E28" s="50"/>
      <c r="F28" s="50"/>
      <c r="G28" s="50"/>
      <c r="H28" s="50"/>
      <c r="I28" s="50"/>
      <c r="J28" s="50"/>
      <c r="K28" s="50"/>
    </row>
    <row r="29" spans="2:11" ht="20.25" customHeight="1">
      <c r="B29" s="50"/>
      <c r="C29" s="50"/>
      <c r="D29" s="50"/>
      <c r="E29" s="50"/>
      <c r="F29" s="50"/>
      <c r="G29" s="50"/>
      <c r="H29" s="50"/>
      <c r="I29" s="50"/>
      <c r="J29" s="50"/>
      <c r="K29" s="50"/>
    </row>
    <row r="30" spans="2:11" ht="20.25" customHeight="1">
      <c r="B30" s="50"/>
      <c r="C30" s="50"/>
      <c r="D30" s="50"/>
      <c r="E30" s="50"/>
      <c r="F30" s="50"/>
      <c r="G30" s="50"/>
      <c r="H30" s="50"/>
      <c r="I30" s="50"/>
      <c r="J30" s="50"/>
      <c r="K30" s="50"/>
    </row>
    <row r="31" spans="2:11" ht="21" customHeight="1">
      <c r="B31" s="50"/>
      <c r="C31" s="50"/>
      <c r="D31" s="50"/>
      <c r="E31" s="50"/>
      <c r="F31" s="50"/>
      <c r="G31" s="50"/>
      <c r="H31" s="50"/>
      <c r="I31" s="50"/>
      <c r="J31" s="50"/>
      <c r="K31" s="50"/>
    </row>
    <row r="32" spans="2:11" ht="21" customHeight="1">
      <c r="B32" s="50"/>
      <c r="C32" s="50"/>
      <c r="D32" s="50"/>
      <c r="E32" s="55"/>
      <c r="F32" s="50"/>
      <c r="G32" s="50"/>
      <c r="H32" s="50"/>
      <c r="I32" s="50"/>
      <c r="J32" s="50"/>
      <c r="K32" s="50"/>
    </row>
    <row r="33" spans="2:11" ht="21" customHeight="1">
      <c r="B33" s="50"/>
      <c r="C33" s="50"/>
      <c r="D33" s="50"/>
      <c r="E33" s="50"/>
      <c r="F33" s="50"/>
      <c r="G33" s="50"/>
      <c r="H33" s="50"/>
      <c r="I33" s="50"/>
      <c r="J33" s="50"/>
      <c r="K33" s="50"/>
    </row>
    <row r="34" spans="2:11" ht="21" customHeight="1">
      <c r="B34" s="50"/>
      <c r="C34" s="50"/>
      <c r="D34" s="50"/>
      <c r="E34" s="50"/>
      <c r="F34" s="50"/>
      <c r="G34" s="50"/>
      <c r="H34" s="50"/>
      <c r="I34" s="50"/>
      <c r="J34" s="50"/>
      <c r="K34" s="50"/>
    </row>
    <row r="35" spans="2:11" ht="21" customHeight="1">
      <c r="B35" s="50"/>
      <c r="C35" s="50"/>
      <c r="D35" s="50"/>
      <c r="E35" s="50"/>
      <c r="F35" s="50"/>
      <c r="G35" s="50"/>
      <c r="H35" s="50"/>
      <c r="I35" s="50"/>
      <c r="J35" s="50"/>
      <c r="K35" s="50"/>
    </row>
    <row r="36" spans="2:11" ht="21" customHeight="1">
      <c r="B36" s="50"/>
      <c r="C36" s="50"/>
      <c r="D36" s="50"/>
      <c r="E36" s="50"/>
      <c r="F36" s="50"/>
      <c r="G36" s="50"/>
      <c r="H36" s="50"/>
      <c r="I36" s="50"/>
      <c r="J36" s="50"/>
      <c r="K36" s="50"/>
    </row>
    <row r="37" spans="2:11" ht="21" customHeight="1">
      <c r="B37" s="50"/>
      <c r="C37" s="50"/>
      <c r="D37" s="50"/>
      <c r="E37" s="50"/>
      <c r="F37" s="50"/>
      <c r="G37" s="50"/>
      <c r="H37" s="50"/>
      <c r="I37" s="50"/>
      <c r="J37" s="50"/>
      <c r="K37" s="50"/>
    </row>
    <row r="38" spans="2:11" ht="21" customHeight="1">
      <c r="B38" s="50"/>
      <c r="C38" s="50"/>
      <c r="D38" s="50"/>
      <c r="E38" s="50"/>
      <c r="F38" s="50"/>
      <c r="G38" s="50"/>
      <c r="H38" s="50"/>
      <c r="I38" s="50"/>
      <c r="J38" s="50"/>
      <c r="K38" s="50"/>
    </row>
    <row r="39" spans="2:11" ht="21" customHeight="1">
      <c r="B39" s="50"/>
      <c r="C39" s="50"/>
      <c r="D39" s="50"/>
      <c r="E39" s="50"/>
      <c r="F39" s="50"/>
      <c r="G39" s="50"/>
      <c r="H39" s="50"/>
      <c r="I39" s="50"/>
      <c r="J39" s="50"/>
      <c r="K39" s="50"/>
    </row>
    <row r="40" spans="2:11" ht="21" customHeight="1">
      <c r="B40" s="749" t="s">
        <v>31</v>
      </c>
      <c r="C40" s="749"/>
      <c r="D40" s="749"/>
      <c r="E40" s="749"/>
      <c r="F40" s="749"/>
      <c r="G40" s="749"/>
      <c r="H40" s="749"/>
      <c r="I40" s="749"/>
      <c r="J40" s="749"/>
      <c r="K40" s="749"/>
    </row>
    <row r="41" spans="2:11" ht="21.75">
      <c r="B41" s="21"/>
      <c r="C41" s="21" t="s">
        <v>32</v>
      </c>
      <c r="D41" s="21"/>
      <c r="E41" s="21">
        <f>SUM('[1]FACTOR F'!$D$5)</f>
        <v>0</v>
      </c>
      <c r="F41" s="22" t="s">
        <v>33</v>
      </c>
      <c r="G41" s="21" t="s">
        <v>34</v>
      </c>
      <c r="H41" s="23"/>
      <c r="I41" s="21"/>
      <c r="J41" s="21">
        <v>7</v>
      </c>
      <c r="K41" s="22" t="s">
        <v>35</v>
      </c>
    </row>
    <row r="42" spans="2:11" ht="21.75">
      <c r="B42" s="21"/>
      <c r="C42" s="21" t="s">
        <v>36</v>
      </c>
      <c r="D42" s="21"/>
      <c r="E42" s="21">
        <f>SUM('[1]FACTOR F'!$D$6)</f>
        <v>0</v>
      </c>
      <c r="F42" s="22" t="s">
        <v>33</v>
      </c>
      <c r="G42" s="56" t="s">
        <v>37</v>
      </c>
      <c r="H42" s="21"/>
      <c r="I42" s="21"/>
      <c r="J42" s="21">
        <v>7</v>
      </c>
      <c r="K42" s="57" t="s">
        <v>33</v>
      </c>
    </row>
    <row r="43" spans="2:11" ht="21.75">
      <c r="B43" s="750"/>
      <c r="C43" s="751"/>
      <c r="D43" s="750" t="s">
        <v>23</v>
      </c>
      <c r="E43" s="752"/>
      <c r="F43" s="752"/>
      <c r="G43" s="751"/>
      <c r="H43" s="12"/>
      <c r="I43" s="12"/>
      <c r="J43" s="753" t="s">
        <v>38</v>
      </c>
      <c r="K43" s="754"/>
    </row>
    <row r="44" spans="2:11" ht="21.75">
      <c r="B44" s="759" t="s">
        <v>39</v>
      </c>
      <c r="C44" s="760"/>
      <c r="D44" s="761" t="s">
        <v>33</v>
      </c>
      <c r="E44" s="762"/>
      <c r="F44" s="762"/>
      <c r="G44" s="763"/>
      <c r="H44" s="6" t="s">
        <v>40</v>
      </c>
      <c r="I44" s="6" t="s">
        <v>41</v>
      </c>
      <c r="J44" s="755"/>
      <c r="K44" s="756"/>
    </row>
    <row r="45" spans="2:11" ht="21.75">
      <c r="B45" s="759" t="s">
        <v>28</v>
      </c>
      <c r="C45" s="764"/>
      <c r="D45" s="4" t="s">
        <v>42</v>
      </c>
      <c r="E45" s="3" t="s">
        <v>42</v>
      </c>
      <c r="F45" s="4" t="s">
        <v>42</v>
      </c>
      <c r="G45" s="4" t="s">
        <v>8</v>
      </c>
      <c r="H45" s="6" t="s">
        <v>43</v>
      </c>
      <c r="I45" s="6" t="s">
        <v>44</v>
      </c>
      <c r="J45" s="755"/>
      <c r="K45" s="756"/>
    </row>
    <row r="46" spans="2:11" ht="21.75">
      <c r="B46" s="765"/>
      <c r="C46" s="766"/>
      <c r="D46" s="9" t="s">
        <v>45</v>
      </c>
      <c r="E46" s="10" t="s">
        <v>46</v>
      </c>
      <c r="F46" s="9" t="s">
        <v>47</v>
      </c>
      <c r="G46" s="9" t="s">
        <v>48</v>
      </c>
      <c r="H46" s="9"/>
      <c r="I46" s="11"/>
      <c r="J46" s="757"/>
      <c r="K46" s="758"/>
    </row>
    <row r="47" spans="2:11" ht="21.75">
      <c r="B47" s="58" t="s">
        <v>52</v>
      </c>
      <c r="C47" s="17">
        <v>0.5</v>
      </c>
      <c r="D47" s="59">
        <v>15.6856</v>
      </c>
      <c r="E47" s="42">
        <v>1.1666</v>
      </c>
      <c r="F47" s="60">
        <v>5.5</v>
      </c>
      <c r="G47" s="61">
        <f aca="true" t="shared" si="0" ref="G47:G70">(D47+E47+F47)</f>
        <v>22.3522</v>
      </c>
      <c r="H47" s="59">
        <f aca="true" t="shared" si="1" ref="H47:H70">1+(G47/100)</f>
        <v>1.223522</v>
      </c>
      <c r="I47" s="59">
        <f aca="true" t="shared" si="2" ref="I47:I70">1+($J$42/100)</f>
        <v>1.07</v>
      </c>
      <c r="J47" s="747">
        <f aca="true" t="shared" si="3" ref="J47:J70">(H47*I47)</f>
        <v>1.3091685400000002</v>
      </c>
      <c r="K47" s="748"/>
    </row>
    <row r="48" spans="2:11" ht="21.75">
      <c r="B48" s="62"/>
      <c r="C48" s="37">
        <v>1</v>
      </c>
      <c r="D48" s="59">
        <v>15.4654</v>
      </c>
      <c r="E48" s="42">
        <v>1.1666</v>
      </c>
      <c r="F48" s="60">
        <v>5.5</v>
      </c>
      <c r="G48" s="61">
        <f t="shared" si="0"/>
        <v>22.132</v>
      </c>
      <c r="H48" s="63">
        <f t="shared" si="1"/>
        <v>1.22132</v>
      </c>
      <c r="I48" s="63">
        <f t="shared" si="2"/>
        <v>1.07</v>
      </c>
      <c r="J48" s="743">
        <f t="shared" si="3"/>
        <v>1.3068124</v>
      </c>
      <c r="K48" s="744"/>
    </row>
    <row r="49" spans="2:11" ht="21.75">
      <c r="B49" s="62"/>
      <c r="C49" s="37">
        <v>2</v>
      </c>
      <c r="D49" s="59">
        <v>15.322</v>
      </c>
      <c r="E49" s="42">
        <v>1.1666</v>
      </c>
      <c r="F49" s="60">
        <v>5.5</v>
      </c>
      <c r="G49" s="61">
        <f t="shared" si="0"/>
        <v>21.988599999999998</v>
      </c>
      <c r="H49" s="63">
        <f t="shared" si="1"/>
        <v>1.219886</v>
      </c>
      <c r="I49" s="63">
        <f t="shared" si="2"/>
        <v>1.07</v>
      </c>
      <c r="J49" s="743">
        <f t="shared" si="3"/>
        <v>1.30527802</v>
      </c>
      <c r="K49" s="744"/>
    </row>
    <row r="50" spans="2:11" ht="21.75">
      <c r="B50" s="62"/>
      <c r="C50" s="37">
        <v>5</v>
      </c>
      <c r="D50" s="59">
        <v>15.0245</v>
      </c>
      <c r="E50" s="42">
        <v>1.1666</v>
      </c>
      <c r="F50" s="60">
        <v>5.5</v>
      </c>
      <c r="G50" s="61">
        <f t="shared" si="0"/>
        <v>21.6911</v>
      </c>
      <c r="H50" s="63">
        <f t="shared" si="1"/>
        <v>1.216911</v>
      </c>
      <c r="I50" s="63">
        <f t="shared" si="2"/>
        <v>1.07</v>
      </c>
      <c r="J50" s="743">
        <f t="shared" si="3"/>
        <v>1.30209477</v>
      </c>
      <c r="K50" s="744"/>
    </row>
    <row r="51" spans="2:11" ht="21.75">
      <c r="B51" s="62"/>
      <c r="C51" s="37">
        <v>10</v>
      </c>
      <c r="D51" s="59">
        <v>14.9659</v>
      </c>
      <c r="E51" s="42">
        <v>1.1666</v>
      </c>
      <c r="F51" s="60">
        <f>'[1]ดอกเบี้ย,กำไร'!G52</f>
        <v>5</v>
      </c>
      <c r="G51" s="61">
        <f t="shared" si="0"/>
        <v>21.1325</v>
      </c>
      <c r="H51" s="63">
        <f t="shared" si="1"/>
        <v>1.211325</v>
      </c>
      <c r="I51" s="63">
        <f t="shared" si="2"/>
        <v>1.07</v>
      </c>
      <c r="J51" s="743">
        <f t="shared" si="3"/>
        <v>1.29611775</v>
      </c>
      <c r="K51" s="744"/>
    </row>
    <row r="52" spans="2:11" ht="21.75">
      <c r="B52" s="62"/>
      <c r="C52" s="37">
        <v>15</v>
      </c>
      <c r="D52" s="59">
        <v>11.7</v>
      </c>
      <c r="E52" s="42">
        <v>1.1666</v>
      </c>
      <c r="F52" s="60">
        <f>'[1]ดอกเบี้ย,กำไร'!G53</f>
        <v>5</v>
      </c>
      <c r="G52" s="61">
        <f t="shared" si="0"/>
        <v>17.8666</v>
      </c>
      <c r="H52" s="63">
        <f t="shared" si="1"/>
        <v>1.178666</v>
      </c>
      <c r="I52" s="63">
        <f t="shared" si="2"/>
        <v>1.07</v>
      </c>
      <c r="J52" s="743">
        <f t="shared" si="3"/>
        <v>1.26117262</v>
      </c>
      <c r="K52" s="744"/>
    </row>
    <row r="53" spans="2:11" ht="21.75">
      <c r="B53" s="62"/>
      <c r="C53" s="37">
        <v>20</v>
      </c>
      <c r="D53" s="59">
        <v>10.9884</v>
      </c>
      <c r="E53" s="42">
        <v>1.1666</v>
      </c>
      <c r="F53" s="60">
        <f>'[1]ดอกเบี้ย,กำไร'!G54</f>
        <v>5</v>
      </c>
      <c r="G53" s="61">
        <f t="shared" si="0"/>
        <v>17.155</v>
      </c>
      <c r="H53" s="63">
        <f t="shared" si="1"/>
        <v>1.17155</v>
      </c>
      <c r="I53" s="63">
        <f t="shared" si="2"/>
        <v>1.07</v>
      </c>
      <c r="J53" s="743">
        <f t="shared" si="3"/>
        <v>1.2535585000000002</v>
      </c>
      <c r="K53" s="744"/>
    </row>
    <row r="54" spans="2:26" ht="21" customHeight="1">
      <c r="B54" s="62"/>
      <c r="C54" s="37">
        <v>25</v>
      </c>
      <c r="D54" s="59">
        <v>8.9675</v>
      </c>
      <c r="E54" s="42">
        <v>1.1666</v>
      </c>
      <c r="F54" s="60">
        <f>'[1]ดอกเบี้ย,กำไร'!G55</f>
        <v>4.5</v>
      </c>
      <c r="G54" s="61">
        <f t="shared" si="0"/>
        <v>14.6341</v>
      </c>
      <c r="H54" s="63">
        <f t="shared" si="1"/>
        <v>1.146341</v>
      </c>
      <c r="I54" s="63">
        <f t="shared" si="2"/>
        <v>1.07</v>
      </c>
      <c r="J54" s="743">
        <f t="shared" si="3"/>
        <v>1.2265848700000002</v>
      </c>
      <c r="K54" s="744"/>
      <c r="Z54" s="40"/>
    </row>
    <row r="55" spans="2:26" ht="21" customHeight="1">
      <c r="B55" s="62"/>
      <c r="C55" s="37">
        <v>30</v>
      </c>
      <c r="D55" s="59">
        <v>8.1852</v>
      </c>
      <c r="E55" s="42">
        <v>1.1666</v>
      </c>
      <c r="F55" s="60">
        <f>'[1]ดอกเบี้ย,กำไร'!G56</f>
        <v>4.5</v>
      </c>
      <c r="G55" s="61">
        <f t="shared" si="0"/>
        <v>13.8518</v>
      </c>
      <c r="H55" s="63">
        <f t="shared" si="1"/>
        <v>1.138518</v>
      </c>
      <c r="I55" s="63">
        <f t="shared" si="2"/>
        <v>1.07</v>
      </c>
      <c r="J55" s="743">
        <f t="shared" si="3"/>
        <v>1.2182142599999999</v>
      </c>
      <c r="K55" s="744"/>
      <c r="Z55" s="40"/>
    </row>
    <row r="56" spans="2:11" ht="21" customHeight="1">
      <c r="B56" s="62"/>
      <c r="C56" s="37">
        <f aca="true" t="shared" si="4" ref="C56:C62">C55+10</f>
        <v>40</v>
      </c>
      <c r="D56" s="59">
        <v>8.1487</v>
      </c>
      <c r="E56" s="42">
        <v>1.1666</v>
      </c>
      <c r="F56" s="60">
        <f>'[1]ดอกเบี้ย,กำไร'!G57</f>
        <v>4.5</v>
      </c>
      <c r="G56" s="61">
        <f t="shared" si="0"/>
        <v>13.8153</v>
      </c>
      <c r="H56" s="63">
        <f t="shared" si="1"/>
        <v>1.138153</v>
      </c>
      <c r="I56" s="63">
        <f t="shared" si="2"/>
        <v>1.07</v>
      </c>
      <c r="J56" s="743">
        <f t="shared" si="3"/>
        <v>1.21782371</v>
      </c>
      <c r="K56" s="744"/>
    </row>
    <row r="57" spans="2:11" ht="21" customHeight="1">
      <c r="B57" s="62"/>
      <c r="C57" s="37">
        <f t="shared" si="4"/>
        <v>50</v>
      </c>
      <c r="D57" s="59">
        <v>8.1374</v>
      </c>
      <c r="E57" s="42">
        <v>1.1666</v>
      </c>
      <c r="F57" s="60">
        <f>'[1]ดอกเบี้ย,กำไร'!G58</f>
        <v>4.5</v>
      </c>
      <c r="G57" s="61">
        <f t="shared" si="0"/>
        <v>13.804</v>
      </c>
      <c r="H57" s="63">
        <f t="shared" si="1"/>
        <v>1.13804</v>
      </c>
      <c r="I57" s="63">
        <f t="shared" si="2"/>
        <v>1.07</v>
      </c>
      <c r="J57" s="743">
        <f t="shared" si="3"/>
        <v>1.2177028</v>
      </c>
      <c r="K57" s="744"/>
    </row>
    <row r="58" spans="2:11" ht="21" customHeight="1">
      <c r="B58" s="62"/>
      <c r="C58" s="37">
        <f t="shared" si="4"/>
        <v>60</v>
      </c>
      <c r="D58" s="59">
        <v>7.7209</v>
      </c>
      <c r="E58" s="42">
        <v>1.1666</v>
      </c>
      <c r="F58" s="60">
        <f>'[1]ดอกเบี้ย,กำไร'!G59</f>
        <v>4</v>
      </c>
      <c r="G58" s="61">
        <f t="shared" si="0"/>
        <v>12.887500000000001</v>
      </c>
      <c r="H58" s="63">
        <f t="shared" si="1"/>
        <v>1.128875</v>
      </c>
      <c r="I58" s="63">
        <f t="shared" si="2"/>
        <v>1.07</v>
      </c>
      <c r="J58" s="743">
        <f t="shared" si="3"/>
        <v>1.2078962500000001</v>
      </c>
      <c r="K58" s="744"/>
    </row>
    <row r="59" spans="2:11" ht="21" customHeight="1">
      <c r="B59" s="62"/>
      <c r="C59" s="37">
        <f t="shared" si="4"/>
        <v>70</v>
      </c>
      <c r="D59" s="59">
        <v>7.6178</v>
      </c>
      <c r="E59" s="42">
        <v>1.1666</v>
      </c>
      <c r="F59" s="60">
        <f>'[1]ดอกเบี้ย,กำไร'!G60</f>
        <v>4</v>
      </c>
      <c r="G59" s="61">
        <f t="shared" si="0"/>
        <v>12.7844</v>
      </c>
      <c r="H59" s="63">
        <f t="shared" si="1"/>
        <v>1.127844</v>
      </c>
      <c r="I59" s="63">
        <f t="shared" si="2"/>
        <v>1.07</v>
      </c>
      <c r="J59" s="743">
        <f t="shared" si="3"/>
        <v>1.2067930800000002</v>
      </c>
      <c r="K59" s="744"/>
    </row>
    <row r="60" spans="2:11" ht="21.75" customHeight="1">
      <c r="B60" s="62"/>
      <c r="C60" s="37">
        <f t="shared" si="4"/>
        <v>80</v>
      </c>
      <c r="D60" s="59">
        <v>7.6178</v>
      </c>
      <c r="E60" s="42">
        <v>1.1666</v>
      </c>
      <c r="F60" s="60">
        <f>'[1]ดอกเบี้ย,กำไร'!G61</f>
        <v>4</v>
      </c>
      <c r="G60" s="61">
        <f t="shared" si="0"/>
        <v>12.7844</v>
      </c>
      <c r="H60" s="63">
        <f t="shared" si="1"/>
        <v>1.127844</v>
      </c>
      <c r="I60" s="63">
        <f t="shared" si="2"/>
        <v>1.07</v>
      </c>
      <c r="J60" s="743">
        <f t="shared" si="3"/>
        <v>1.2067930800000002</v>
      </c>
      <c r="K60" s="744"/>
    </row>
    <row r="61" spans="2:11" ht="21.75" customHeight="1">
      <c r="B61" s="62"/>
      <c r="C61" s="37">
        <f t="shared" si="4"/>
        <v>90</v>
      </c>
      <c r="D61" s="59">
        <v>7.6095</v>
      </c>
      <c r="E61" s="42">
        <v>1.1666</v>
      </c>
      <c r="F61" s="60">
        <f>'[1]ดอกเบี้ย,กำไร'!G62</f>
        <v>4</v>
      </c>
      <c r="G61" s="61">
        <f t="shared" si="0"/>
        <v>12.7761</v>
      </c>
      <c r="H61" s="63">
        <f t="shared" si="1"/>
        <v>1.127761</v>
      </c>
      <c r="I61" s="63">
        <f t="shared" si="2"/>
        <v>1.07</v>
      </c>
      <c r="J61" s="743">
        <f t="shared" si="3"/>
        <v>1.2067042700000001</v>
      </c>
      <c r="K61" s="744"/>
    </row>
    <row r="62" spans="2:11" ht="21.75" customHeight="1">
      <c r="B62" s="62"/>
      <c r="C62" s="37">
        <f t="shared" si="4"/>
        <v>100</v>
      </c>
      <c r="D62" s="59">
        <v>7.6095</v>
      </c>
      <c r="E62" s="42">
        <v>1.1666</v>
      </c>
      <c r="F62" s="60">
        <f>'[1]ดอกเบี้ย,กำไร'!G63</f>
        <v>4</v>
      </c>
      <c r="G62" s="61">
        <f t="shared" si="0"/>
        <v>12.7761</v>
      </c>
      <c r="H62" s="63">
        <f t="shared" si="1"/>
        <v>1.127761</v>
      </c>
      <c r="I62" s="63">
        <f t="shared" si="2"/>
        <v>1.07</v>
      </c>
      <c r="J62" s="743">
        <f t="shared" si="3"/>
        <v>1.2067042700000001</v>
      </c>
      <c r="K62" s="744"/>
    </row>
    <row r="63" spans="2:11" ht="21.75" customHeight="1">
      <c r="B63" s="62"/>
      <c r="C63" s="37">
        <v>150</v>
      </c>
      <c r="D63" s="59">
        <v>7.36</v>
      </c>
      <c r="E63" s="42">
        <v>1.1666</v>
      </c>
      <c r="F63" s="60">
        <f>'[1]ดอกเบี้ย,กำไร'!G64</f>
        <v>4</v>
      </c>
      <c r="G63" s="61">
        <f t="shared" si="0"/>
        <v>12.5266</v>
      </c>
      <c r="H63" s="63">
        <f t="shared" si="1"/>
        <v>1.1252659999999999</v>
      </c>
      <c r="I63" s="63">
        <f t="shared" si="2"/>
        <v>1.07</v>
      </c>
      <c r="J63" s="743">
        <f t="shared" si="3"/>
        <v>1.2040346199999998</v>
      </c>
      <c r="K63" s="744"/>
    </row>
    <row r="64" spans="2:11" ht="21.75" customHeight="1">
      <c r="B64" s="62"/>
      <c r="C64" s="37">
        <v>200</v>
      </c>
      <c r="D64" s="59">
        <v>7.3617</v>
      </c>
      <c r="E64" s="42">
        <v>1.1666</v>
      </c>
      <c r="F64" s="60">
        <f>'[1]ดอกเบี้ย,กำไร'!G65</f>
        <v>4</v>
      </c>
      <c r="G64" s="61">
        <f t="shared" si="0"/>
        <v>12.5283</v>
      </c>
      <c r="H64" s="63">
        <f t="shared" si="1"/>
        <v>1.125283</v>
      </c>
      <c r="I64" s="63">
        <f t="shared" si="2"/>
        <v>1.07</v>
      </c>
      <c r="J64" s="743">
        <f t="shared" si="3"/>
        <v>1.20405281</v>
      </c>
      <c r="K64" s="744"/>
    </row>
    <row r="65" spans="2:11" ht="21.75">
      <c r="B65" s="62"/>
      <c r="C65" s="37">
        <v>250</v>
      </c>
      <c r="D65" s="59">
        <v>7.2736</v>
      </c>
      <c r="E65" s="42">
        <v>1.1666</v>
      </c>
      <c r="F65" s="60">
        <f>'[1]ดอกเบี้ย,กำไร'!G66</f>
        <v>4</v>
      </c>
      <c r="G65" s="61">
        <f t="shared" si="0"/>
        <v>12.4402</v>
      </c>
      <c r="H65" s="63">
        <f t="shared" si="1"/>
        <v>1.124402</v>
      </c>
      <c r="I65" s="63">
        <f t="shared" si="2"/>
        <v>1.07</v>
      </c>
      <c r="J65" s="743">
        <f t="shared" si="3"/>
        <v>1.20311014</v>
      </c>
      <c r="K65" s="744"/>
    </row>
    <row r="66" spans="2:11" ht="21.75">
      <c r="B66" s="62"/>
      <c r="C66" s="37">
        <v>300</v>
      </c>
      <c r="D66" s="59">
        <v>7.195</v>
      </c>
      <c r="E66" s="42">
        <v>1.1666</v>
      </c>
      <c r="F66" s="60">
        <f>'[1]ดอกเบี้ย,กำไร'!G67</f>
        <v>3.5</v>
      </c>
      <c r="G66" s="61">
        <f t="shared" si="0"/>
        <v>11.861600000000001</v>
      </c>
      <c r="H66" s="63">
        <f t="shared" si="1"/>
        <v>1.118616</v>
      </c>
      <c r="I66" s="63">
        <f t="shared" si="2"/>
        <v>1.07</v>
      </c>
      <c r="J66" s="743">
        <f t="shared" si="3"/>
        <v>1.1969191200000002</v>
      </c>
      <c r="K66" s="744"/>
    </row>
    <row r="67" spans="2:11" ht="21.75">
      <c r="B67" s="62"/>
      <c r="C67" s="37">
        <v>350</v>
      </c>
      <c r="D67" s="59">
        <v>6.4098</v>
      </c>
      <c r="E67" s="42">
        <v>1.1666</v>
      </c>
      <c r="F67" s="60">
        <f>'[1]ดอกเบี้ย,กำไร'!G68</f>
        <v>3.5</v>
      </c>
      <c r="G67" s="61">
        <f t="shared" si="0"/>
        <v>11.0764</v>
      </c>
      <c r="H67" s="63">
        <f t="shared" si="1"/>
        <v>1.110764</v>
      </c>
      <c r="I67" s="63">
        <f t="shared" si="2"/>
        <v>1.07</v>
      </c>
      <c r="J67" s="743">
        <f t="shared" si="3"/>
        <v>1.1885174800000002</v>
      </c>
      <c r="K67" s="744"/>
    </row>
    <row r="68" spans="2:11" ht="21.75">
      <c r="B68" s="62"/>
      <c r="C68" s="37">
        <v>400</v>
      </c>
      <c r="D68" s="59">
        <v>6.3344</v>
      </c>
      <c r="E68" s="42">
        <v>1.1666</v>
      </c>
      <c r="F68" s="60">
        <f>'[1]ดอกเบี้ย,กำไร'!G69</f>
        <v>3.5</v>
      </c>
      <c r="G68" s="61">
        <f t="shared" si="0"/>
        <v>11.001</v>
      </c>
      <c r="H68" s="63">
        <f t="shared" si="1"/>
        <v>1.11001</v>
      </c>
      <c r="I68" s="63">
        <f t="shared" si="2"/>
        <v>1.07</v>
      </c>
      <c r="J68" s="743">
        <f t="shared" si="3"/>
        <v>1.1877107</v>
      </c>
      <c r="K68" s="744"/>
    </row>
    <row r="69" spans="2:11" ht="21.75">
      <c r="B69" s="62"/>
      <c r="C69" s="37">
        <v>500</v>
      </c>
      <c r="D69" s="59">
        <v>6.2868</v>
      </c>
      <c r="E69" s="42">
        <v>1.1666</v>
      </c>
      <c r="F69" s="60">
        <f>'[1]ดอกเบี้ย,กำไร'!G70</f>
        <v>3.5</v>
      </c>
      <c r="G69" s="61">
        <f t="shared" si="0"/>
        <v>10.9534</v>
      </c>
      <c r="H69" s="63">
        <f t="shared" si="1"/>
        <v>1.109534</v>
      </c>
      <c r="I69" s="63">
        <f t="shared" si="2"/>
        <v>1.07</v>
      </c>
      <c r="J69" s="743">
        <f t="shared" si="3"/>
        <v>1.18720138</v>
      </c>
      <c r="K69" s="744"/>
    </row>
    <row r="70" spans="2:11" ht="21.75">
      <c r="B70" s="64" t="s">
        <v>53</v>
      </c>
      <c r="C70" s="65">
        <v>500</v>
      </c>
      <c r="D70" s="59">
        <v>5.6676</v>
      </c>
      <c r="E70" s="42">
        <v>1.1666</v>
      </c>
      <c r="F70" s="60">
        <f>'[1]ดอกเบี้ย,กำไร'!G71</f>
        <v>3.5</v>
      </c>
      <c r="G70" s="61">
        <f t="shared" si="0"/>
        <v>10.3342</v>
      </c>
      <c r="H70" s="66">
        <f t="shared" si="1"/>
        <v>1.103342</v>
      </c>
      <c r="I70" s="66">
        <f t="shared" si="2"/>
        <v>1.07</v>
      </c>
      <c r="J70" s="745">
        <f t="shared" si="3"/>
        <v>1.1805759400000002</v>
      </c>
      <c r="K70" s="746"/>
    </row>
    <row r="71" spans="2:11" ht="21.75">
      <c r="B71" s="741" t="s">
        <v>9</v>
      </c>
      <c r="C71" s="741"/>
      <c r="D71" s="53" t="s">
        <v>54</v>
      </c>
      <c r="E71" s="67"/>
      <c r="F71" s="67"/>
      <c r="G71" s="67"/>
      <c r="H71" s="67"/>
      <c r="I71" s="67"/>
      <c r="J71" s="50"/>
      <c r="K71" s="67"/>
    </row>
    <row r="72" spans="2:11" ht="21.75">
      <c r="B72" s="50"/>
      <c r="C72" s="50"/>
      <c r="D72" s="51" t="s">
        <v>55</v>
      </c>
      <c r="E72" s="68"/>
      <c r="F72" s="68"/>
      <c r="G72" s="68"/>
      <c r="H72" s="68"/>
      <c r="I72" s="68"/>
      <c r="J72" s="68"/>
      <c r="K72" s="68"/>
    </row>
    <row r="73" spans="2:11" ht="21.75">
      <c r="B73" s="50"/>
      <c r="C73" s="68"/>
      <c r="D73" s="68"/>
      <c r="E73" s="68"/>
      <c r="F73" s="68"/>
      <c r="G73" s="68"/>
      <c r="H73" s="68"/>
      <c r="I73" s="68"/>
      <c r="J73" s="68"/>
      <c r="K73" s="68"/>
    </row>
    <row r="74" spans="2:11" ht="21.75">
      <c r="B74" s="37"/>
      <c r="C74" s="37"/>
      <c r="D74" s="42"/>
      <c r="E74" s="42"/>
      <c r="F74" s="42"/>
      <c r="G74" s="42"/>
      <c r="H74" s="42"/>
      <c r="I74" s="42"/>
      <c r="J74" s="742" t="s">
        <v>74</v>
      </c>
      <c r="K74" s="742"/>
    </row>
    <row r="110" spans="2:11" ht="21.75">
      <c r="B110" s="13"/>
      <c r="C110" s="13"/>
      <c r="D110" s="13"/>
      <c r="E110" s="13"/>
      <c r="F110" s="13"/>
      <c r="G110" s="13"/>
      <c r="H110" s="13"/>
      <c r="I110" s="13"/>
      <c r="J110" s="13"/>
      <c r="K110" s="13"/>
    </row>
    <row r="111" spans="2:11" ht="21.75">
      <c r="B111" s="13"/>
      <c r="C111" s="13"/>
      <c r="D111" s="13"/>
      <c r="E111" s="13"/>
      <c r="F111" s="13"/>
      <c r="G111" s="13"/>
      <c r="H111" s="13"/>
      <c r="I111" s="13"/>
      <c r="J111" s="13"/>
      <c r="K111" s="13"/>
    </row>
    <row r="112" spans="2:11" ht="21.75">
      <c r="B112" s="13"/>
      <c r="C112" s="13"/>
      <c r="D112" s="13"/>
      <c r="E112" s="13"/>
      <c r="F112" s="13"/>
      <c r="G112" s="13"/>
      <c r="H112" s="13"/>
      <c r="I112" s="13"/>
      <c r="J112" s="13"/>
      <c r="K112" s="13"/>
    </row>
    <row r="113" spans="2:11" ht="21.75">
      <c r="B113" s="13"/>
      <c r="C113" s="13"/>
      <c r="D113" s="13"/>
      <c r="E113" s="13"/>
      <c r="F113" s="13"/>
      <c r="G113" s="13"/>
      <c r="H113" s="13"/>
      <c r="I113" s="13"/>
      <c r="J113" s="13"/>
      <c r="K113" s="13"/>
    </row>
    <row r="114" spans="2:11" ht="21.75">
      <c r="B114" s="13"/>
      <c r="C114" s="13"/>
      <c r="D114" s="13"/>
      <c r="E114" s="13"/>
      <c r="F114" s="13"/>
      <c r="G114" s="13"/>
      <c r="H114" s="13"/>
      <c r="I114" s="13"/>
      <c r="J114" s="13"/>
      <c r="K114" s="13"/>
    </row>
  </sheetData>
  <sheetProtection selectLockedCells="1" selectUnlockedCells="1"/>
  <mergeCells count="50">
    <mergeCell ref="M25:N25"/>
    <mergeCell ref="B1:K1"/>
    <mergeCell ref="B2:K2"/>
    <mergeCell ref="B3:K3"/>
    <mergeCell ref="B5:D5"/>
    <mergeCell ref="B8:C8"/>
    <mergeCell ref="D8:G8"/>
    <mergeCell ref="J8:K11"/>
    <mergeCell ref="B9:C9"/>
    <mergeCell ref="D9:G9"/>
    <mergeCell ref="B11:C11"/>
    <mergeCell ref="J12:K12"/>
    <mergeCell ref="J13:K13"/>
    <mergeCell ref="J14:K14"/>
    <mergeCell ref="J16:K16"/>
    <mergeCell ref="B10:C10"/>
    <mergeCell ref="B40:K40"/>
    <mergeCell ref="B43:C43"/>
    <mergeCell ref="D43:G43"/>
    <mergeCell ref="J43:K46"/>
    <mergeCell ref="B44:C44"/>
    <mergeCell ref="D44:G44"/>
    <mergeCell ref="B45:C45"/>
    <mergeCell ref="B46:C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56:K56"/>
    <mergeCell ref="J57:K57"/>
    <mergeCell ref="J58:K58"/>
    <mergeCell ref="J59:K59"/>
    <mergeCell ref="J60:K60"/>
    <mergeCell ref="J61:K61"/>
    <mergeCell ref="J62:K62"/>
    <mergeCell ref="J63:K63"/>
    <mergeCell ref="J64:K64"/>
    <mergeCell ref="B71:C71"/>
    <mergeCell ref="J74:K74"/>
    <mergeCell ref="J65:K65"/>
    <mergeCell ref="J66:K66"/>
    <mergeCell ref="J67:K67"/>
    <mergeCell ref="J68:K68"/>
    <mergeCell ref="J69:K69"/>
    <mergeCell ref="J70:K70"/>
  </mergeCells>
  <printOptions/>
  <pageMargins left="0.51" right="0.18" top="0.71" bottom="0.79" header="0.1968503937007874" footer="0.44"/>
  <pageSetup horizontalDpi="300" verticalDpi="300" orientation="portrait" paperSize="9"/>
  <headerFooter alignWithMargins="0">
    <oddHeader>&amp;L&amp;"DilleniaUPC,ธรรมดา"ตารางคำนวณค่า FACTOR F&amp;R&amp;"DilleniaUPC,ธรรมดา"หน้าที่ : &amp;P/&amp;N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X128"/>
  <sheetViews>
    <sheetView tabSelected="1" view="pageBreakPreview" zoomScale="98" zoomScaleSheetLayoutView="98" zoomScalePageLayoutView="120" workbookViewId="0" topLeftCell="A94">
      <selection activeCell="J110" sqref="J110"/>
    </sheetView>
  </sheetViews>
  <sheetFormatPr defaultColWidth="11.421875" defaultRowHeight="21.75"/>
  <cols>
    <col min="1" max="1" width="11.28125" style="329" customWidth="1"/>
    <col min="2" max="2" width="13.57421875" style="321" customWidth="1"/>
    <col min="3" max="3" width="4.8515625" style="321" customWidth="1"/>
    <col min="4" max="4" width="65.57421875" style="321" customWidth="1"/>
    <col min="5" max="5" width="20.140625" style="574" customWidth="1"/>
    <col min="6" max="6" width="15.7109375" style="321" customWidth="1"/>
    <col min="7" max="7" width="13.8515625" style="321" customWidth="1"/>
    <col min="8" max="8" width="16.8515625" style="321" customWidth="1"/>
    <col min="9" max="9" width="16.421875" style="321" customWidth="1"/>
    <col min="10" max="10" width="13.140625" style="321" customWidth="1"/>
    <col min="11" max="11" width="17.57421875" style="321" bestFit="1" customWidth="1"/>
    <col min="12" max="12" width="11.421875" style="321" customWidth="1"/>
    <col min="13" max="13" width="12.57421875" style="321" bestFit="1" customWidth="1"/>
    <col min="14" max="16384" width="11.421875" style="321" customWidth="1"/>
  </cols>
  <sheetData>
    <row r="1" spans="1:10" ht="21.75">
      <c r="A1" s="707" t="s">
        <v>592</v>
      </c>
      <c r="B1" s="707"/>
      <c r="C1" s="707"/>
      <c r="D1" s="707"/>
      <c r="E1" s="707"/>
      <c r="F1" s="707"/>
      <c r="G1" s="707"/>
      <c r="H1" s="533"/>
      <c r="I1" s="533"/>
      <c r="J1" s="534"/>
    </row>
    <row r="2" spans="1:10" ht="22.5" thickBot="1">
      <c r="A2" s="834" t="s">
        <v>595</v>
      </c>
      <c r="B2" s="834"/>
      <c r="C2" s="834"/>
      <c r="D2" s="834"/>
      <c r="E2" s="834"/>
      <c r="F2" s="834"/>
      <c r="G2" s="834"/>
      <c r="H2" s="533"/>
      <c r="I2" s="533"/>
      <c r="J2" s="534"/>
    </row>
    <row r="3" spans="1:7" ht="22.5" thickTop="1">
      <c r="A3" s="835" t="s">
        <v>80</v>
      </c>
      <c r="B3" s="836"/>
      <c r="C3" s="535"/>
      <c r="D3" s="536">
        <v>15439400</v>
      </c>
      <c r="E3" s="537"/>
      <c r="F3" s="538"/>
      <c r="G3" s="538"/>
    </row>
    <row r="4" spans="1:7" ht="21.75">
      <c r="A4" s="837" t="s">
        <v>81</v>
      </c>
      <c r="B4" s="838"/>
      <c r="C4" s="539" t="s">
        <v>77</v>
      </c>
      <c r="D4" s="540" t="s">
        <v>692</v>
      </c>
      <c r="E4" s="541"/>
      <c r="F4" s="542"/>
      <c r="G4" s="543" t="s">
        <v>747</v>
      </c>
    </row>
    <row r="5" spans="1:7" ht="21.75">
      <c r="A5" s="839" t="s">
        <v>594</v>
      </c>
      <c r="B5" s="840"/>
      <c r="C5" s="544"/>
      <c r="D5" s="544" t="s">
        <v>593</v>
      </c>
      <c r="E5" s="541"/>
      <c r="F5" s="542"/>
      <c r="G5" s="545"/>
    </row>
    <row r="6" spans="1:7" ht="21.75">
      <c r="A6" s="839" t="s">
        <v>90</v>
      </c>
      <c r="B6" s="840"/>
      <c r="C6" s="546"/>
      <c r="D6" s="546"/>
      <c r="E6" s="547"/>
      <c r="F6" s="548"/>
      <c r="G6" s="548"/>
    </row>
    <row r="7" spans="1:7" ht="21.75">
      <c r="A7" s="546" t="s">
        <v>82</v>
      </c>
      <c r="B7" s="549"/>
      <c r="C7" s="823" t="s">
        <v>666</v>
      </c>
      <c r="D7" s="824"/>
      <c r="E7" s="547"/>
      <c r="F7" s="548"/>
      <c r="G7" s="548"/>
    </row>
    <row r="8" spans="1:7" ht="21.75">
      <c r="A8" s="830"/>
      <c r="B8" s="831"/>
      <c r="C8" s="823" t="s">
        <v>667</v>
      </c>
      <c r="D8" s="824"/>
      <c r="E8" s="547"/>
      <c r="F8" s="548"/>
      <c r="G8" s="548"/>
    </row>
    <row r="9" spans="1:7" ht="21.75" customHeight="1">
      <c r="A9" s="546"/>
      <c r="B9" s="549"/>
      <c r="C9" s="832" t="s">
        <v>668</v>
      </c>
      <c r="D9" s="833"/>
      <c r="E9" s="550"/>
      <c r="F9" s="551"/>
      <c r="G9" s="551"/>
    </row>
    <row r="10" spans="1:7" ht="21.75">
      <c r="A10" s="546"/>
      <c r="B10" s="549"/>
      <c r="C10" s="823" t="s">
        <v>669</v>
      </c>
      <c r="D10" s="824"/>
      <c r="E10" s="547"/>
      <c r="F10" s="548"/>
      <c r="G10" s="548"/>
    </row>
    <row r="11" spans="1:7" ht="21.75">
      <c r="A11" s="546"/>
      <c r="B11" s="549"/>
      <c r="C11" s="823" t="s">
        <v>670</v>
      </c>
      <c r="D11" s="824"/>
      <c r="E11" s="547"/>
      <c r="F11" s="548"/>
      <c r="G11" s="548"/>
    </row>
    <row r="12" spans="1:7" ht="21.75">
      <c r="A12" s="546"/>
      <c r="B12" s="549"/>
      <c r="C12" s="823" t="s">
        <v>671</v>
      </c>
      <c r="D12" s="824"/>
      <c r="E12" s="547"/>
      <c r="F12" s="548"/>
      <c r="G12" s="548"/>
    </row>
    <row r="13" spans="1:7" ht="21.75">
      <c r="A13" s="546"/>
      <c r="B13" s="549"/>
      <c r="C13" s="823" t="s">
        <v>672</v>
      </c>
      <c r="D13" s="824"/>
      <c r="E13" s="547"/>
      <c r="F13" s="548"/>
      <c r="G13" s="548"/>
    </row>
    <row r="14" spans="1:7" ht="21.75">
      <c r="A14" s="546"/>
      <c r="B14" s="549"/>
      <c r="C14" s="823" t="s">
        <v>673</v>
      </c>
      <c r="D14" s="824"/>
      <c r="E14" s="547"/>
      <c r="F14" s="548"/>
      <c r="G14" s="548"/>
    </row>
    <row r="15" spans="1:7" ht="21.75">
      <c r="A15" s="546"/>
      <c r="B15" s="549"/>
      <c r="C15" s="823" t="s">
        <v>674</v>
      </c>
      <c r="D15" s="824"/>
      <c r="E15" s="547"/>
      <c r="F15" s="548"/>
      <c r="G15" s="548"/>
    </row>
    <row r="16" spans="1:10" ht="21.75" customHeight="1" thickBot="1">
      <c r="A16" s="552"/>
      <c r="B16" s="553"/>
      <c r="C16" s="825" t="s">
        <v>675</v>
      </c>
      <c r="D16" s="826"/>
      <c r="E16" s="554"/>
      <c r="F16" s="555"/>
      <c r="G16" s="555"/>
      <c r="J16" s="321" t="s">
        <v>77</v>
      </c>
    </row>
    <row r="17" spans="1:7" ht="12" customHeight="1" thickTop="1">
      <c r="A17" s="556"/>
      <c r="B17" s="556"/>
      <c r="C17" s="557"/>
      <c r="D17" s="557"/>
      <c r="E17" s="558"/>
      <c r="F17" s="329"/>
      <c r="G17" s="329"/>
    </row>
    <row r="18" spans="1:7" ht="52.5" customHeight="1">
      <c r="A18" s="508" t="s">
        <v>83</v>
      </c>
      <c r="B18" s="827" t="s">
        <v>84</v>
      </c>
      <c r="C18" s="828"/>
      <c r="D18" s="829"/>
      <c r="E18" s="272" t="s">
        <v>85</v>
      </c>
      <c r="F18" s="213" t="s">
        <v>86</v>
      </c>
      <c r="G18" s="213" t="s">
        <v>87</v>
      </c>
    </row>
    <row r="19" spans="1:13" ht="21.75">
      <c r="A19" s="280">
        <v>1</v>
      </c>
      <c r="B19" s="813" t="s">
        <v>88</v>
      </c>
      <c r="C19" s="814"/>
      <c r="D19" s="815"/>
      <c r="E19" s="273">
        <f>D3*F19</f>
        <v>1543940</v>
      </c>
      <c r="F19" s="281">
        <v>0.1</v>
      </c>
      <c r="G19" s="282">
        <v>30</v>
      </c>
      <c r="H19" s="315"/>
      <c r="I19" s="315"/>
      <c r="J19" s="315"/>
      <c r="K19" s="274"/>
      <c r="M19" s="315"/>
    </row>
    <row r="20" spans="1:13" ht="21.75">
      <c r="A20" s="320"/>
      <c r="B20" s="807" t="s">
        <v>640</v>
      </c>
      <c r="C20" s="808"/>
      <c r="D20" s="809"/>
      <c r="E20" s="509"/>
      <c r="F20" s="510" t="s">
        <v>77</v>
      </c>
      <c r="G20" s="511"/>
      <c r="H20" s="315"/>
      <c r="I20" s="315"/>
      <c r="K20" s="274"/>
      <c r="M20" s="315"/>
    </row>
    <row r="21" spans="1:7" ht="23.25" customHeight="1">
      <c r="A21" s="512"/>
      <c r="B21" s="789" t="s">
        <v>701</v>
      </c>
      <c r="C21" s="790"/>
      <c r="D21" s="791"/>
      <c r="E21" s="513"/>
      <c r="F21" s="514"/>
      <c r="G21" s="514"/>
    </row>
    <row r="22" spans="1:24" ht="23.25" customHeight="1">
      <c r="A22" s="512"/>
      <c r="B22" s="789" t="s">
        <v>644</v>
      </c>
      <c r="C22" s="790"/>
      <c r="D22" s="791"/>
      <c r="E22" s="513"/>
      <c r="F22" s="514"/>
      <c r="G22" s="514"/>
      <c r="H22" s="315"/>
      <c r="P22" s="329"/>
      <c r="Q22" s="329"/>
      <c r="R22" s="329"/>
      <c r="S22" s="329"/>
      <c r="T22" s="329"/>
      <c r="U22" s="329"/>
      <c r="V22" s="329"/>
      <c r="W22" s="329"/>
      <c r="X22" s="329"/>
    </row>
    <row r="23" spans="1:24" ht="23.25" customHeight="1">
      <c r="A23" s="515"/>
      <c r="B23" s="781" t="s">
        <v>645</v>
      </c>
      <c r="C23" s="782"/>
      <c r="D23" s="783"/>
      <c r="E23" s="516"/>
      <c r="F23" s="517"/>
      <c r="G23" s="517"/>
      <c r="H23" s="315"/>
      <c r="I23" s="315"/>
      <c r="P23" s="329"/>
      <c r="Q23" s="559"/>
      <c r="R23" s="822"/>
      <c r="S23" s="822"/>
      <c r="T23" s="822"/>
      <c r="U23" s="214"/>
      <c r="V23" s="214"/>
      <c r="W23" s="214"/>
      <c r="X23" s="329"/>
    </row>
    <row r="24" spans="1:24" ht="23.25" customHeight="1">
      <c r="A24" s="518"/>
      <c r="B24" s="810" t="s">
        <v>716</v>
      </c>
      <c r="C24" s="811"/>
      <c r="D24" s="811"/>
      <c r="E24" s="519"/>
      <c r="F24" s="520"/>
      <c r="G24" s="520"/>
      <c r="P24" s="329"/>
      <c r="Q24" s="559"/>
      <c r="R24" s="559"/>
      <c r="S24" s="559"/>
      <c r="T24" s="559"/>
      <c r="U24" s="214"/>
      <c r="V24" s="214"/>
      <c r="W24" s="214"/>
      <c r="X24" s="329"/>
    </row>
    <row r="25" spans="1:24" ht="23.25" customHeight="1">
      <c r="A25" s="512"/>
      <c r="B25" s="789" t="s">
        <v>717</v>
      </c>
      <c r="C25" s="790"/>
      <c r="D25" s="791"/>
      <c r="E25" s="521"/>
      <c r="F25" s="514"/>
      <c r="G25" s="514"/>
      <c r="J25" s="560"/>
      <c r="P25" s="329"/>
      <c r="Q25" s="559"/>
      <c r="R25" s="559"/>
      <c r="S25" s="559"/>
      <c r="T25" s="559"/>
      <c r="U25" s="214"/>
      <c r="V25" s="214"/>
      <c r="W25" s="214"/>
      <c r="X25" s="329"/>
    </row>
    <row r="26" spans="1:24" ht="44.25" customHeight="1">
      <c r="A26" s="512"/>
      <c r="B26" s="789" t="s">
        <v>646</v>
      </c>
      <c r="C26" s="790"/>
      <c r="D26" s="791"/>
      <c r="E26" s="522"/>
      <c r="F26" s="514"/>
      <c r="G26" s="514"/>
      <c r="P26" s="329"/>
      <c r="Q26" s="329"/>
      <c r="R26" s="329"/>
      <c r="S26" s="329"/>
      <c r="T26" s="329"/>
      <c r="U26" s="329"/>
      <c r="V26" s="329"/>
      <c r="W26" s="329"/>
      <c r="X26" s="329"/>
    </row>
    <row r="27" spans="1:24" ht="23.25" customHeight="1">
      <c r="A27" s="512"/>
      <c r="B27" s="798" t="s">
        <v>180</v>
      </c>
      <c r="C27" s="799"/>
      <c r="D27" s="800"/>
      <c r="E27" s="513"/>
      <c r="F27" s="514"/>
      <c r="G27" s="514"/>
      <c r="P27" s="329"/>
      <c r="Q27" s="329"/>
      <c r="R27" s="329"/>
      <c r="S27" s="329"/>
      <c r="T27" s="329"/>
      <c r="U27" s="329"/>
      <c r="V27" s="329"/>
      <c r="W27" s="329"/>
      <c r="X27" s="329"/>
    </row>
    <row r="28" spans="1:7" ht="23.25" customHeight="1">
      <c r="A28" s="512"/>
      <c r="B28" s="789" t="s">
        <v>700</v>
      </c>
      <c r="C28" s="790"/>
      <c r="D28" s="791"/>
      <c r="E28" s="513"/>
      <c r="F28" s="514"/>
      <c r="G28" s="523"/>
    </row>
    <row r="29" spans="1:7" ht="23.25" customHeight="1">
      <c r="A29" s="524"/>
      <c r="B29" s="789" t="s">
        <v>718</v>
      </c>
      <c r="C29" s="790"/>
      <c r="D29" s="791"/>
      <c r="E29" s="513"/>
      <c r="F29" s="514"/>
      <c r="G29" s="514"/>
    </row>
    <row r="30" spans="1:7" ht="23.25" customHeight="1">
      <c r="A30" s="524"/>
      <c r="B30" s="789" t="s">
        <v>719</v>
      </c>
      <c r="C30" s="790"/>
      <c r="D30" s="791"/>
      <c r="E30" s="513"/>
      <c r="F30" s="514"/>
      <c r="G30" s="514"/>
    </row>
    <row r="31" spans="1:7" ht="23.25" customHeight="1">
      <c r="A31" s="525"/>
      <c r="B31" s="789" t="s">
        <v>647</v>
      </c>
      <c r="C31" s="790"/>
      <c r="D31" s="791"/>
      <c r="E31" s="526"/>
      <c r="F31" s="527"/>
      <c r="G31" s="528"/>
    </row>
    <row r="32" spans="1:7" ht="23.25" customHeight="1">
      <c r="A32" s="512"/>
      <c r="B32" s="801" t="s">
        <v>179</v>
      </c>
      <c r="C32" s="802"/>
      <c r="D32" s="803"/>
      <c r="E32" s="529"/>
      <c r="F32" s="514"/>
      <c r="G32" s="514"/>
    </row>
    <row r="33" spans="1:7" ht="23.25" customHeight="1">
      <c r="A33" s="512"/>
      <c r="B33" s="789" t="s">
        <v>648</v>
      </c>
      <c r="C33" s="790"/>
      <c r="D33" s="791"/>
      <c r="E33" s="526"/>
      <c r="F33" s="514"/>
      <c r="G33" s="514"/>
    </row>
    <row r="34" spans="1:7" ht="23.25" customHeight="1">
      <c r="A34" s="512"/>
      <c r="B34" s="789" t="s">
        <v>720</v>
      </c>
      <c r="C34" s="790"/>
      <c r="D34" s="791"/>
      <c r="E34" s="526"/>
      <c r="F34" s="514"/>
      <c r="G34" s="514"/>
    </row>
    <row r="35" spans="1:7" ht="21.75">
      <c r="A35" s="524"/>
      <c r="B35" s="798" t="s">
        <v>638</v>
      </c>
      <c r="C35" s="799"/>
      <c r="D35" s="800"/>
      <c r="E35" s="513"/>
      <c r="F35" s="514"/>
      <c r="G35" s="514"/>
    </row>
    <row r="36" spans="1:7" ht="23.25" customHeight="1">
      <c r="A36" s="530"/>
      <c r="B36" s="789" t="s">
        <v>721</v>
      </c>
      <c r="C36" s="790"/>
      <c r="D36" s="791"/>
      <c r="E36" s="513"/>
      <c r="F36" s="531"/>
      <c r="G36" s="528"/>
    </row>
    <row r="37" spans="1:7" ht="23.25" customHeight="1">
      <c r="A37" s="271"/>
      <c r="B37" s="789" t="s">
        <v>722</v>
      </c>
      <c r="C37" s="790"/>
      <c r="D37" s="791"/>
      <c r="E37" s="513"/>
      <c r="F37" s="271"/>
      <c r="G37" s="271"/>
    </row>
    <row r="38" spans="1:8" ht="23.25" customHeight="1">
      <c r="A38" s="271"/>
      <c r="B38" s="789" t="s">
        <v>723</v>
      </c>
      <c r="C38" s="790"/>
      <c r="D38" s="791"/>
      <c r="E38" s="513"/>
      <c r="F38" s="271"/>
      <c r="G38" s="271"/>
      <c r="H38" s="315"/>
    </row>
    <row r="39" spans="1:8" ht="23.25" customHeight="1">
      <c r="A39" s="532"/>
      <c r="B39" s="789" t="s">
        <v>724</v>
      </c>
      <c r="C39" s="790"/>
      <c r="D39" s="791"/>
      <c r="E39" s="316"/>
      <c r="F39" s="532"/>
      <c r="G39" s="532"/>
      <c r="H39" s="315"/>
    </row>
    <row r="40" spans="1:7" ht="21.75">
      <c r="A40" s="280">
        <v>2</v>
      </c>
      <c r="B40" s="813" t="s">
        <v>89</v>
      </c>
      <c r="C40" s="814"/>
      <c r="D40" s="815"/>
      <c r="E40" s="273">
        <f>D3*F40</f>
        <v>1543940</v>
      </c>
      <c r="F40" s="281">
        <v>0.1</v>
      </c>
      <c r="G40" s="282">
        <v>25</v>
      </c>
    </row>
    <row r="41" spans="1:7" ht="21.75">
      <c r="A41" s="275"/>
      <c r="B41" s="807" t="s">
        <v>640</v>
      </c>
      <c r="C41" s="808"/>
      <c r="D41" s="809"/>
      <c r="E41" s="563"/>
      <c r="F41" s="275"/>
      <c r="G41" s="275"/>
    </row>
    <row r="42" spans="1:9" ht="23.25" customHeight="1">
      <c r="A42" s="271"/>
      <c r="B42" s="789" t="s">
        <v>708</v>
      </c>
      <c r="C42" s="790"/>
      <c r="D42" s="791"/>
      <c r="E42" s="513"/>
      <c r="F42" s="271"/>
      <c r="G42" s="514"/>
      <c r="H42" s="315"/>
      <c r="I42" s="315"/>
    </row>
    <row r="43" spans="1:8" ht="23.25" customHeight="1">
      <c r="A43" s="271"/>
      <c r="B43" s="789" t="s">
        <v>725</v>
      </c>
      <c r="C43" s="790"/>
      <c r="D43" s="791"/>
      <c r="E43" s="299"/>
      <c r="F43" s="271"/>
      <c r="G43" s="271"/>
      <c r="H43" s="315"/>
    </row>
    <row r="44" spans="1:9" ht="23.25" customHeight="1">
      <c r="A44" s="271"/>
      <c r="B44" s="789" t="s">
        <v>726</v>
      </c>
      <c r="C44" s="790"/>
      <c r="D44" s="791"/>
      <c r="E44" s="299"/>
      <c r="F44" s="271"/>
      <c r="G44" s="271"/>
      <c r="H44" s="315"/>
      <c r="I44" s="315"/>
    </row>
    <row r="45" spans="1:7" ht="22.5" customHeight="1">
      <c r="A45" s="271"/>
      <c r="B45" s="789" t="s">
        <v>727</v>
      </c>
      <c r="C45" s="790"/>
      <c r="D45" s="791"/>
      <c r="E45" s="299"/>
      <c r="F45" s="271"/>
      <c r="G45" s="271"/>
    </row>
    <row r="46" spans="1:7" ht="23.25" customHeight="1">
      <c r="A46" s="279"/>
      <c r="B46" s="792" t="s">
        <v>728</v>
      </c>
      <c r="C46" s="793"/>
      <c r="D46" s="794"/>
      <c r="E46" s="562"/>
      <c r="F46" s="279"/>
      <c r="G46" s="517"/>
    </row>
    <row r="47" spans="1:7" ht="22.5" customHeight="1">
      <c r="A47" s="275"/>
      <c r="B47" s="810" t="s">
        <v>649</v>
      </c>
      <c r="C47" s="811"/>
      <c r="D47" s="812"/>
      <c r="E47" s="566"/>
      <c r="F47" s="275"/>
      <c r="G47" s="275"/>
    </row>
    <row r="48" spans="1:7" ht="21.75">
      <c r="A48" s="271"/>
      <c r="B48" s="798" t="s">
        <v>180</v>
      </c>
      <c r="C48" s="799"/>
      <c r="D48" s="800"/>
      <c r="E48" s="568"/>
      <c r="F48" s="271"/>
      <c r="G48" s="271"/>
    </row>
    <row r="49" spans="1:7" ht="23.25" customHeight="1">
      <c r="A49" s="271"/>
      <c r="B49" s="789" t="s">
        <v>729</v>
      </c>
      <c r="C49" s="790"/>
      <c r="D49" s="791"/>
      <c r="E49" s="299"/>
      <c r="F49" s="271"/>
      <c r="G49" s="271"/>
    </row>
    <row r="50" spans="1:7" ht="23.25" customHeight="1">
      <c r="A50" s="271"/>
      <c r="B50" s="789" t="s">
        <v>730</v>
      </c>
      <c r="C50" s="790"/>
      <c r="D50" s="791"/>
      <c r="E50" s="299"/>
      <c r="F50" s="271"/>
      <c r="G50" s="271"/>
    </row>
    <row r="51" spans="1:7" ht="23.25" customHeight="1">
      <c r="A51" s="271"/>
      <c r="B51" s="789" t="s">
        <v>731</v>
      </c>
      <c r="C51" s="790"/>
      <c r="D51" s="791"/>
      <c r="E51" s="299"/>
      <c r="F51" s="271"/>
      <c r="G51" s="271"/>
    </row>
    <row r="52" spans="1:7" ht="23.25" customHeight="1">
      <c r="A52" s="271"/>
      <c r="B52" s="789" t="s">
        <v>732</v>
      </c>
      <c r="C52" s="790"/>
      <c r="D52" s="791"/>
      <c r="E52" s="299"/>
      <c r="F52" s="271"/>
      <c r="G52" s="271"/>
    </row>
    <row r="53" spans="1:7" ht="23.25" customHeight="1">
      <c r="A53" s="271"/>
      <c r="B53" s="789" t="s">
        <v>733</v>
      </c>
      <c r="C53" s="790"/>
      <c r="D53" s="791"/>
      <c r="E53" s="299"/>
      <c r="F53" s="271"/>
      <c r="G53" s="271"/>
    </row>
    <row r="54" spans="1:7" ht="23.25" customHeight="1">
      <c r="A54" s="271"/>
      <c r="B54" s="789" t="s">
        <v>734</v>
      </c>
      <c r="C54" s="790"/>
      <c r="D54" s="791"/>
      <c r="E54" s="299"/>
      <c r="F54" s="271"/>
      <c r="G54" s="271"/>
    </row>
    <row r="55" spans="1:7" ht="23.25" customHeight="1">
      <c r="A55" s="271"/>
      <c r="B55" s="819" t="s">
        <v>179</v>
      </c>
      <c r="C55" s="820"/>
      <c r="D55" s="821"/>
      <c r="E55" s="564"/>
      <c r="F55" s="271"/>
      <c r="G55" s="271"/>
    </row>
    <row r="56" spans="1:7" ht="44.25" customHeight="1">
      <c r="A56" s="271"/>
      <c r="B56" s="789" t="s">
        <v>735</v>
      </c>
      <c r="C56" s="790"/>
      <c r="D56" s="791"/>
      <c r="E56" s="299"/>
      <c r="F56" s="271"/>
      <c r="G56" s="271"/>
    </row>
    <row r="57" spans="1:7" ht="23.25" customHeight="1">
      <c r="A57" s="271"/>
      <c r="B57" s="795" t="s">
        <v>736</v>
      </c>
      <c r="C57" s="796"/>
      <c r="D57" s="797"/>
      <c r="E57" s="299"/>
      <c r="F57" s="271"/>
      <c r="G57" s="271"/>
    </row>
    <row r="58" spans="1:7" ht="23.25" customHeight="1">
      <c r="A58" s="271"/>
      <c r="B58" s="801" t="s">
        <v>638</v>
      </c>
      <c r="C58" s="802"/>
      <c r="D58" s="803"/>
      <c r="E58" s="565"/>
      <c r="F58" s="271"/>
      <c r="G58" s="271"/>
    </row>
    <row r="59" spans="1:7" ht="23.25" customHeight="1">
      <c r="A59" s="271"/>
      <c r="B59" s="789" t="s">
        <v>711</v>
      </c>
      <c r="C59" s="790"/>
      <c r="D59" s="791"/>
      <c r="E59" s="299"/>
      <c r="F59" s="271"/>
      <c r="G59" s="271"/>
    </row>
    <row r="60" spans="1:7" ht="23.25" customHeight="1">
      <c r="A60" s="271"/>
      <c r="B60" s="789" t="s">
        <v>712</v>
      </c>
      <c r="C60" s="790"/>
      <c r="D60" s="791"/>
      <c r="E60" s="299"/>
      <c r="F60" s="271"/>
      <c r="G60" s="271"/>
    </row>
    <row r="61" spans="1:9" ht="21.75">
      <c r="A61" s="280">
        <v>3</v>
      </c>
      <c r="B61" s="813" t="s">
        <v>641</v>
      </c>
      <c r="C61" s="814"/>
      <c r="D61" s="815"/>
      <c r="E61" s="273">
        <f>D3*F61</f>
        <v>2315910</v>
      </c>
      <c r="F61" s="281">
        <v>0.15</v>
      </c>
      <c r="G61" s="282">
        <v>30</v>
      </c>
      <c r="H61" s="315"/>
      <c r="I61" s="315"/>
    </row>
    <row r="62" spans="1:7" ht="21.75">
      <c r="A62" s="457"/>
      <c r="B62" s="807" t="s">
        <v>640</v>
      </c>
      <c r="C62" s="808"/>
      <c r="D62" s="809"/>
      <c r="E62" s="561"/>
      <c r="F62" s="457"/>
      <c r="G62" s="457"/>
    </row>
    <row r="63" spans="1:8" ht="23.25" customHeight="1">
      <c r="A63" s="271"/>
      <c r="B63" s="789" t="s">
        <v>737</v>
      </c>
      <c r="C63" s="790"/>
      <c r="D63" s="791"/>
      <c r="E63" s="513"/>
      <c r="F63" s="271"/>
      <c r="G63" s="514"/>
      <c r="H63" s="315"/>
    </row>
    <row r="64" spans="1:7" ht="23.25" customHeight="1">
      <c r="A64" s="271"/>
      <c r="B64" s="789" t="s">
        <v>713</v>
      </c>
      <c r="C64" s="790"/>
      <c r="D64" s="791"/>
      <c r="E64" s="513"/>
      <c r="F64" s="271"/>
      <c r="G64" s="271"/>
    </row>
    <row r="65" spans="1:7" ht="23.25" customHeight="1">
      <c r="A65" s="271"/>
      <c r="B65" s="789" t="s">
        <v>650</v>
      </c>
      <c r="C65" s="790"/>
      <c r="D65" s="791"/>
      <c r="E65" s="513"/>
      <c r="F65" s="271"/>
      <c r="G65" s="271"/>
    </row>
    <row r="66" spans="1:7" ht="23.25" customHeight="1">
      <c r="A66" s="279"/>
      <c r="B66" s="781" t="s">
        <v>651</v>
      </c>
      <c r="C66" s="782"/>
      <c r="D66" s="783"/>
      <c r="E66" s="562"/>
      <c r="F66" s="279"/>
      <c r="G66" s="279"/>
    </row>
    <row r="67" spans="1:7" ht="23.25" customHeight="1">
      <c r="A67" s="275"/>
      <c r="B67" s="810" t="s">
        <v>652</v>
      </c>
      <c r="C67" s="811"/>
      <c r="D67" s="812"/>
      <c r="E67" s="566"/>
      <c r="F67" s="275"/>
      <c r="G67" s="275"/>
    </row>
    <row r="68" spans="1:9" ht="23.25" customHeight="1">
      <c r="A68" s="279"/>
      <c r="B68" s="781" t="s">
        <v>714</v>
      </c>
      <c r="C68" s="782"/>
      <c r="D68" s="783"/>
      <c r="E68" s="562"/>
      <c r="F68" s="279"/>
      <c r="G68" s="279"/>
      <c r="H68" s="581"/>
      <c r="I68" s="315"/>
    </row>
    <row r="69" spans="1:7" ht="23.25" customHeight="1">
      <c r="A69" s="275"/>
      <c r="B69" s="810" t="s">
        <v>657</v>
      </c>
      <c r="C69" s="811"/>
      <c r="D69" s="812"/>
      <c r="E69" s="566"/>
      <c r="F69" s="275"/>
      <c r="G69" s="520"/>
    </row>
    <row r="70" spans="1:7" ht="23.25" customHeight="1">
      <c r="A70" s="271"/>
      <c r="B70" s="786" t="s">
        <v>738</v>
      </c>
      <c r="C70" s="787"/>
      <c r="D70" s="788"/>
      <c r="E70" s="299"/>
      <c r="F70" s="271"/>
      <c r="G70" s="514"/>
    </row>
    <row r="71" spans="1:7" ht="23.25" customHeight="1">
      <c r="A71" s="271"/>
      <c r="B71" s="789" t="s">
        <v>653</v>
      </c>
      <c r="C71" s="790"/>
      <c r="D71" s="791"/>
      <c r="E71" s="299"/>
      <c r="F71" s="271"/>
      <c r="G71" s="514"/>
    </row>
    <row r="72" spans="1:7" ht="23.25" customHeight="1">
      <c r="A72" s="271"/>
      <c r="B72" s="789" t="s">
        <v>739</v>
      </c>
      <c r="C72" s="790"/>
      <c r="D72" s="791"/>
      <c r="E72" s="299"/>
      <c r="F72" s="271"/>
      <c r="G72" s="271"/>
    </row>
    <row r="73" spans="1:7" ht="21.75">
      <c r="A73" s="271"/>
      <c r="B73" s="567" t="s">
        <v>180</v>
      </c>
      <c r="C73" s="271"/>
      <c r="D73" s="271"/>
      <c r="E73" s="568"/>
      <c r="F73" s="271"/>
      <c r="G73" s="271"/>
    </row>
    <row r="74" spans="1:7" ht="23.25" customHeight="1">
      <c r="A74" s="271"/>
      <c r="B74" s="789" t="s">
        <v>715</v>
      </c>
      <c r="C74" s="790"/>
      <c r="D74" s="791"/>
      <c r="E74" s="299"/>
      <c r="F74" s="271"/>
      <c r="G74" s="271"/>
    </row>
    <row r="75" spans="1:7" ht="21.75">
      <c r="A75" s="271"/>
      <c r="B75" s="804" t="s">
        <v>654</v>
      </c>
      <c r="C75" s="805"/>
      <c r="D75" s="806"/>
      <c r="E75" s="568"/>
      <c r="F75" s="271"/>
      <c r="G75" s="271"/>
    </row>
    <row r="76" spans="1:7" ht="21.75">
      <c r="A76" s="271"/>
      <c r="B76" s="804" t="s">
        <v>655</v>
      </c>
      <c r="C76" s="805"/>
      <c r="D76" s="806"/>
      <c r="E76" s="568"/>
      <c r="F76" s="271"/>
      <c r="G76" s="271"/>
    </row>
    <row r="77" spans="1:7" ht="23.25" customHeight="1">
      <c r="A77" s="271"/>
      <c r="B77" s="801" t="s">
        <v>179</v>
      </c>
      <c r="C77" s="802"/>
      <c r="D77" s="803"/>
      <c r="E77" s="565"/>
      <c r="F77" s="271"/>
      <c r="G77" s="271"/>
    </row>
    <row r="78" spans="1:7" ht="21.75">
      <c r="A78" s="271"/>
      <c r="B78" s="804" t="s">
        <v>656</v>
      </c>
      <c r="C78" s="805"/>
      <c r="D78" s="806"/>
      <c r="E78" s="299"/>
      <c r="F78" s="271"/>
      <c r="G78" s="271"/>
    </row>
    <row r="79" spans="1:9" ht="21.75">
      <c r="A79" s="280">
        <v>4</v>
      </c>
      <c r="B79" s="813" t="s">
        <v>642</v>
      </c>
      <c r="C79" s="814"/>
      <c r="D79" s="815"/>
      <c r="E79" s="273">
        <f>D3*F79</f>
        <v>2315910</v>
      </c>
      <c r="F79" s="281">
        <v>0.15</v>
      </c>
      <c r="G79" s="282">
        <v>20</v>
      </c>
      <c r="H79" s="315"/>
      <c r="I79" s="315"/>
    </row>
    <row r="80" spans="1:8" ht="21.75">
      <c r="A80" s="457"/>
      <c r="B80" s="807" t="s">
        <v>640</v>
      </c>
      <c r="C80" s="808"/>
      <c r="D80" s="809"/>
      <c r="E80" s="561"/>
      <c r="F80" s="457"/>
      <c r="G80" s="457"/>
      <c r="H80" s="315"/>
    </row>
    <row r="81" spans="1:7" ht="23.25" customHeight="1">
      <c r="A81" s="271"/>
      <c r="B81" s="789" t="s">
        <v>658</v>
      </c>
      <c r="C81" s="790"/>
      <c r="D81" s="791"/>
      <c r="E81" s="299"/>
      <c r="F81" s="271"/>
      <c r="G81" s="271"/>
    </row>
    <row r="82" spans="1:7" ht="23.25" customHeight="1">
      <c r="A82" s="271"/>
      <c r="B82" s="789" t="s">
        <v>709</v>
      </c>
      <c r="C82" s="790"/>
      <c r="D82" s="791"/>
      <c r="E82" s="299"/>
      <c r="F82" s="271"/>
      <c r="G82" s="271"/>
    </row>
    <row r="83" spans="1:7" ht="23.25" customHeight="1">
      <c r="A83" s="271"/>
      <c r="B83" s="789" t="s">
        <v>659</v>
      </c>
      <c r="C83" s="790"/>
      <c r="D83" s="791"/>
      <c r="E83" s="299"/>
      <c r="F83" s="271"/>
      <c r="G83" s="271"/>
    </row>
    <row r="84" spans="1:7" ht="23.25" customHeight="1">
      <c r="A84" s="271"/>
      <c r="B84" s="789" t="s">
        <v>660</v>
      </c>
      <c r="C84" s="790"/>
      <c r="D84" s="791"/>
      <c r="E84" s="299"/>
      <c r="F84" s="271"/>
      <c r="G84" s="271"/>
    </row>
    <row r="85" spans="1:7" ht="23.25" customHeight="1">
      <c r="A85" s="271"/>
      <c r="B85" s="789" t="s">
        <v>661</v>
      </c>
      <c r="C85" s="790"/>
      <c r="D85" s="791"/>
      <c r="E85" s="299"/>
      <c r="F85" s="271"/>
      <c r="G85" s="271"/>
    </row>
    <row r="86" spans="1:7" ht="23.25" customHeight="1">
      <c r="A86" s="271"/>
      <c r="B86" s="789" t="s">
        <v>740</v>
      </c>
      <c r="C86" s="790"/>
      <c r="D86" s="791"/>
      <c r="E86" s="299"/>
      <c r="F86" s="271"/>
      <c r="G86" s="271"/>
    </row>
    <row r="87" spans="1:8" ht="23.25" customHeight="1">
      <c r="A87" s="271"/>
      <c r="B87" s="789" t="s">
        <v>662</v>
      </c>
      <c r="C87" s="790"/>
      <c r="D87" s="791"/>
      <c r="E87" s="299"/>
      <c r="F87" s="271"/>
      <c r="G87" s="271"/>
      <c r="H87" s="569"/>
    </row>
    <row r="88" spans="1:8" ht="23.25" customHeight="1">
      <c r="A88" s="271"/>
      <c r="B88" s="789" t="s">
        <v>693</v>
      </c>
      <c r="C88" s="790"/>
      <c r="D88" s="791"/>
      <c r="E88" s="299"/>
      <c r="F88" s="271"/>
      <c r="G88" s="271"/>
      <c r="H88" s="569"/>
    </row>
    <row r="89" spans="1:7" ht="23.25" customHeight="1">
      <c r="A89" s="271"/>
      <c r="B89" s="789" t="s">
        <v>710</v>
      </c>
      <c r="C89" s="790"/>
      <c r="D89" s="791"/>
      <c r="E89" s="299"/>
      <c r="F89" s="271"/>
      <c r="G89" s="271"/>
    </row>
    <row r="90" spans="1:7" ht="23.25" customHeight="1">
      <c r="A90" s="271"/>
      <c r="B90" s="789" t="s">
        <v>663</v>
      </c>
      <c r="C90" s="790"/>
      <c r="D90" s="791"/>
      <c r="E90" s="299"/>
      <c r="F90" s="271"/>
      <c r="G90" s="271"/>
    </row>
    <row r="91" spans="1:7" ht="23.25" customHeight="1">
      <c r="A91" s="271"/>
      <c r="B91" s="789" t="s">
        <v>741</v>
      </c>
      <c r="C91" s="790"/>
      <c r="D91" s="791"/>
      <c r="E91" s="299"/>
      <c r="F91" s="271"/>
      <c r="G91" s="271"/>
    </row>
    <row r="92" spans="1:7" ht="23.25" customHeight="1">
      <c r="A92" s="279"/>
      <c r="B92" s="781" t="s">
        <v>664</v>
      </c>
      <c r="C92" s="782"/>
      <c r="D92" s="783"/>
      <c r="E92" s="562"/>
      <c r="F92" s="279"/>
      <c r="G92" s="279"/>
    </row>
    <row r="93" spans="1:9" ht="23.25" customHeight="1">
      <c r="A93" s="275"/>
      <c r="B93" s="810" t="s">
        <v>678</v>
      </c>
      <c r="C93" s="811"/>
      <c r="D93" s="812"/>
      <c r="E93" s="584"/>
      <c r="F93" s="275"/>
      <c r="G93" s="275"/>
      <c r="H93" s="581"/>
      <c r="I93" s="329"/>
    </row>
    <row r="94" spans="1:7" ht="21.75">
      <c r="A94" s="271"/>
      <c r="B94" s="798" t="s">
        <v>180</v>
      </c>
      <c r="C94" s="799"/>
      <c r="D94" s="800"/>
      <c r="E94" s="568"/>
      <c r="F94" s="271"/>
      <c r="G94" s="271"/>
    </row>
    <row r="95" spans="1:7" ht="23.25" customHeight="1">
      <c r="A95" s="271"/>
      <c r="B95" s="789" t="s">
        <v>742</v>
      </c>
      <c r="C95" s="790"/>
      <c r="D95" s="791"/>
      <c r="E95" s="299"/>
      <c r="F95" s="271"/>
      <c r="G95" s="271"/>
    </row>
    <row r="96" spans="1:7" ht="23.25" customHeight="1">
      <c r="A96" s="271"/>
      <c r="B96" s="801" t="s">
        <v>179</v>
      </c>
      <c r="C96" s="802"/>
      <c r="D96" s="803"/>
      <c r="E96" s="565"/>
      <c r="F96" s="271"/>
      <c r="G96" s="271"/>
    </row>
    <row r="97" spans="1:7" ht="23.25" customHeight="1">
      <c r="A97" s="271"/>
      <c r="B97" s="789" t="s">
        <v>743</v>
      </c>
      <c r="C97" s="790"/>
      <c r="D97" s="791"/>
      <c r="E97" s="299"/>
      <c r="F97" s="271"/>
      <c r="G97" s="271"/>
    </row>
    <row r="98" spans="1:7" ht="23.25" customHeight="1">
      <c r="A98" s="271"/>
      <c r="B98" s="801" t="s">
        <v>638</v>
      </c>
      <c r="C98" s="802"/>
      <c r="D98" s="803"/>
      <c r="E98" s="565"/>
      <c r="F98" s="271"/>
      <c r="G98" s="271"/>
    </row>
    <row r="99" spans="1:11" ht="23.25" customHeight="1">
      <c r="A99" s="271"/>
      <c r="B99" s="789" t="s">
        <v>665</v>
      </c>
      <c r="C99" s="790"/>
      <c r="D99" s="791"/>
      <c r="E99" s="299"/>
      <c r="F99" s="271"/>
      <c r="G99" s="271"/>
      <c r="I99" s="276"/>
      <c r="J99" s="276"/>
      <c r="K99" s="276"/>
    </row>
    <row r="100" spans="1:7" ht="21.75">
      <c r="A100" s="271"/>
      <c r="B100" s="789" t="s">
        <v>703</v>
      </c>
      <c r="C100" s="790"/>
      <c r="D100" s="791"/>
      <c r="E100" s="299"/>
      <c r="F100" s="271"/>
      <c r="G100" s="271"/>
    </row>
    <row r="101" spans="1:7" s="578" customFormat="1" ht="42.75" customHeight="1">
      <c r="A101" s="577"/>
      <c r="B101" s="816" t="s">
        <v>748</v>
      </c>
      <c r="C101" s="817"/>
      <c r="D101" s="818"/>
      <c r="E101" s="582"/>
      <c r="F101" s="583"/>
      <c r="G101" s="583"/>
    </row>
    <row r="102" spans="1:8" ht="21.75">
      <c r="A102" s="280">
        <v>5</v>
      </c>
      <c r="B102" s="813" t="s">
        <v>643</v>
      </c>
      <c r="C102" s="814"/>
      <c r="D102" s="815"/>
      <c r="E102" s="273">
        <f>D3*F102</f>
        <v>3087880</v>
      </c>
      <c r="F102" s="281">
        <v>0.2</v>
      </c>
      <c r="G102" s="282">
        <v>20</v>
      </c>
      <c r="H102" s="315"/>
    </row>
    <row r="103" spans="1:9" ht="21.75">
      <c r="A103" s="278"/>
      <c r="B103" s="807" t="s">
        <v>640</v>
      </c>
      <c r="C103" s="808"/>
      <c r="D103" s="809"/>
      <c r="E103" s="571"/>
      <c r="F103" s="572"/>
      <c r="G103" s="573"/>
      <c r="I103" s="570"/>
    </row>
    <row r="104" spans="1:7" ht="23.25" customHeight="1">
      <c r="A104" s="271"/>
      <c r="B104" s="789" t="s">
        <v>751</v>
      </c>
      <c r="C104" s="790"/>
      <c r="D104" s="791"/>
      <c r="E104" s="299"/>
      <c r="F104" s="271"/>
      <c r="G104" s="271"/>
    </row>
    <row r="105" spans="1:7" ht="23.25" customHeight="1">
      <c r="A105" s="271"/>
      <c r="B105" s="789" t="s">
        <v>676</v>
      </c>
      <c r="C105" s="790"/>
      <c r="D105" s="791"/>
      <c r="E105" s="299"/>
      <c r="F105" s="271"/>
      <c r="G105" s="271"/>
    </row>
    <row r="106" spans="1:7" ht="23.25" customHeight="1">
      <c r="A106" s="271"/>
      <c r="B106" s="789" t="s">
        <v>677</v>
      </c>
      <c r="C106" s="790"/>
      <c r="D106" s="791"/>
      <c r="E106" s="299"/>
      <c r="F106" s="271"/>
      <c r="G106" s="271"/>
    </row>
    <row r="107" spans="1:7" ht="23.25" customHeight="1">
      <c r="A107" s="271"/>
      <c r="B107" s="789" t="s">
        <v>679</v>
      </c>
      <c r="C107" s="790"/>
      <c r="D107" s="791"/>
      <c r="E107" s="299"/>
      <c r="F107" s="271"/>
      <c r="G107" s="271"/>
    </row>
    <row r="108" spans="1:7" ht="23.25" customHeight="1">
      <c r="A108" s="271"/>
      <c r="B108" s="789" t="s">
        <v>681</v>
      </c>
      <c r="C108" s="790"/>
      <c r="D108" s="791"/>
      <c r="E108" s="299"/>
      <c r="F108" s="271"/>
      <c r="G108" s="271"/>
    </row>
    <row r="109" spans="1:7" ht="23.25" customHeight="1">
      <c r="A109" s="271"/>
      <c r="B109" s="789" t="s">
        <v>749</v>
      </c>
      <c r="C109" s="790"/>
      <c r="D109" s="791"/>
      <c r="E109" s="299"/>
      <c r="F109" s="271"/>
      <c r="G109" s="271"/>
    </row>
    <row r="110" spans="1:7" ht="23.25" customHeight="1">
      <c r="A110" s="271"/>
      <c r="B110" s="801" t="s">
        <v>179</v>
      </c>
      <c r="C110" s="802"/>
      <c r="D110" s="803"/>
      <c r="E110" s="565"/>
      <c r="F110" s="271"/>
      <c r="G110" s="271"/>
    </row>
    <row r="111" spans="1:7" ht="23.25" customHeight="1">
      <c r="A111" s="271"/>
      <c r="B111" s="789" t="s">
        <v>695</v>
      </c>
      <c r="C111" s="790"/>
      <c r="D111" s="791"/>
      <c r="E111" s="299"/>
      <c r="F111" s="271"/>
      <c r="G111" s="271"/>
    </row>
    <row r="112" spans="1:7" ht="23.25" customHeight="1">
      <c r="A112" s="279"/>
      <c r="B112" s="781" t="s">
        <v>683</v>
      </c>
      <c r="C112" s="782"/>
      <c r="D112" s="783"/>
      <c r="E112" s="562"/>
      <c r="F112" s="279"/>
      <c r="G112" s="279"/>
    </row>
    <row r="113" spans="1:8" ht="21.75">
      <c r="A113" s="280">
        <v>6</v>
      </c>
      <c r="B113" s="813" t="s">
        <v>707</v>
      </c>
      <c r="C113" s="814"/>
      <c r="D113" s="815"/>
      <c r="E113" s="273">
        <f>D3*F113</f>
        <v>4631820</v>
      </c>
      <c r="F113" s="281">
        <v>0.3</v>
      </c>
      <c r="G113" s="282">
        <v>25</v>
      </c>
      <c r="H113" s="315"/>
    </row>
    <row r="114" spans="1:7" ht="21.75">
      <c r="A114" s="278"/>
      <c r="B114" s="807" t="s">
        <v>640</v>
      </c>
      <c r="C114" s="808"/>
      <c r="D114" s="809"/>
      <c r="E114" s="571"/>
      <c r="F114" s="572"/>
      <c r="G114" s="573"/>
    </row>
    <row r="115" spans="1:7" ht="23.25" customHeight="1">
      <c r="A115" s="279"/>
      <c r="B115" s="781" t="s">
        <v>750</v>
      </c>
      <c r="C115" s="782"/>
      <c r="D115" s="783"/>
      <c r="E115" s="562"/>
      <c r="F115" s="279"/>
      <c r="G115" s="279"/>
    </row>
    <row r="116" spans="1:7" ht="23.25" customHeight="1">
      <c r="A116" s="275"/>
      <c r="B116" s="810" t="s">
        <v>680</v>
      </c>
      <c r="C116" s="811"/>
      <c r="D116" s="812"/>
      <c r="E116" s="566"/>
      <c r="F116" s="275"/>
      <c r="G116" s="275"/>
    </row>
    <row r="117" spans="1:7" ht="23.25" customHeight="1">
      <c r="A117" s="271"/>
      <c r="B117" s="789" t="s">
        <v>682</v>
      </c>
      <c r="C117" s="790"/>
      <c r="D117" s="791"/>
      <c r="E117" s="299"/>
      <c r="F117" s="271"/>
      <c r="G117" s="271"/>
    </row>
    <row r="118" spans="1:7" ht="23.25" customHeight="1">
      <c r="A118" s="271"/>
      <c r="B118" s="789" t="s">
        <v>683</v>
      </c>
      <c r="C118" s="790"/>
      <c r="D118" s="791"/>
      <c r="E118" s="299"/>
      <c r="F118" s="271"/>
      <c r="G118" s="271"/>
    </row>
    <row r="119" spans="1:7" ht="23.25" customHeight="1">
      <c r="A119" s="271"/>
      <c r="B119" s="789" t="s">
        <v>684</v>
      </c>
      <c r="C119" s="790"/>
      <c r="D119" s="791"/>
      <c r="E119" s="299"/>
      <c r="F119" s="271"/>
      <c r="G119" s="271"/>
    </row>
    <row r="120" spans="1:7" ht="21.75">
      <c r="A120" s="271"/>
      <c r="B120" s="798" t="s">
        <v>180</v>
      </c>
      <c r="C120" s="799"/>
      <c r="D120" s="800"/>
      <c r="E120" s="568"/>
      <c r="F120" s="271"/>
      <c r="G120" s="271"/>
    </row>
    <row r="121" spans="1:7" ht="23.25" customHeight="1">
      <c r="A121" s="271"/>
      <c r="B121" s="789" t="s">
        <v>685</v>
      </c>
      <c r="C121" s="790"/>
      <c r="D121" s="791"/>
      <c r="E121" s="299"/>
      <c r="F121" s="271"/>
      <c r="G121" s="271"/>
    </row>
    <row r="122" spans="1:7" ht="23.25" customHeight="1">
      <c r="A122" s="271"/>
      <c r="B122" s="789" t="s">
        <v>683</v>
      </c>
      <c r="C122" s="790"/>
      <c r="D122" s="791"/>
      <c r="E122" s="299"/>
      <c r="F122" s="271"/>
      <c r="G122" s="271"/>
    </row>
    <row r="123" spans="1:7" ht="23.25" customHeight="1">
      <c r="A123" s="271"/>
      <c r="B123" s="801" t="s">
        <v>638</v>
      </c>
      <c r="C123" s="802"/>
      <c r="D123" s="803"/>
      <c r="E123" s="565"/>
      <c r="F123" s="271"/>
      <c r="G123" s="271"/>
    </row>
    <row r="124" spans="1:7" ht="21.75">
      <c r="A124" s="271"/>
      <c r="B124" s="804" t="s">
        <v>686</v>
      </c>
      <c r="C124" s="805"/>
      <c r="D124" s="806"/>
      <c r="E124" s="568"/>
      <c r="F124" s="271"/>
      <c r="G124" s="271"/>
    </row>
    <row r="125" spans="1:7" ht="21.75">
      <c r="A125" s="271"/>
      <c r="B125" s="804" t="s">
        <v>687</v>
      </c>
      <c r="C125" s="805"/>
      <c r="D125" s="806"/>
      <c r="E125" s="568"/>
      <c r="F125" s="271"/>
      <c r="G125" s="271"/>
    </row>
    <row r="126" spans="1:7" ht="23.25" customHeight="1">
      <c r="A126" s="279"/>
      <c r="B126" s="781" t="s">
        <v>683</v>
      </c>
      <c r="C126" s="782"/>
      <c r="D126" s="783"/>
      <c r="E126" s="562"/>
      <c r="F126" s="279"/>
      <c r="G126" s="279"/>
    </row>
    <row r="127" spans="1:7" ht="21.75">
      <c r="A127" s="842"/>
      <c r="B127" s="784" t="s">
        <v>6</v>
      </c>
      <c r="C127" s="784"/>
      <c r="D127" s="785"/>
      <c r="E127" s="579">
        <f>E19+E40+E61+E79+E102+E113</f>
        <v>15439400</v>
      </c>
      <c r="F127" s="580">
        <f>F19+F40+F61+F79+F102+F113</f>
        <v>1</v>
      </c>
      <c r="G127" s="579">
        <f>G19+G40+G61+G79+G102+G113</f>
        <v>150</v>
      </c>
    </row>
    <row r="128" ht="21.75">
      <c r="I128" s="315"/>
    </row>
  </sheetData>
  <sheetProtection/>
  <mergeCells count="127">
    <mergeCell ref="A1:G1"/>
    <mergeCell ref="A2:G2"/>
    <mergeCell ref="A3:B3"/>
    <mergeCell ref="A4:B4"/>
    <mergeCell ref="A5:B5"/>
    <mergeCell ref="A6:B6"/>
    <mergeCell ref="C7:D7"/>
    <mergeCell ref="A8:B8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B18:D18"/>
    <mergeCell ref="B19:D19"/>
    <mergeCell ref="B20:D20"/>
    <mergeCell ref="B21:D21"/>
    <mergeCell ref="B22:D22"/>
    <mergeCell ref="B23:D23"/>
    <mergeCell ref="R23:T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5:D35"/>
    <mergeCell ref="B36:D36"/>
    <mergeCell ref="B34:D34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7:D47"/>
    <mergeCell ref="B60:D60"/>
    <mergeCell ref="B48:D48"/>
    <mergeCell ref="B49:D49"/>
    <mergeCell ref="B50:D50"/>
    <mergeCell ref="B51:D51"/>
    <mergeCell ref="B52:D52"/>
    <mergeCell ref="B53:D53"/>
    <mergeCell ref="B61:D61"/>
    <mergeCell ref="B62:D62"/>
    <mergeCell ref="B63:D63"/>
    <mergeCell ref="B64:D64"/>
    <mergeCell ref="B54:D54"/>
    <mergeCell ref="B55:D55"/>
    <mergeCell ref="B56:D56"/>
    <mergeCell ref="B58:D58"/>
    <mergeCell ref="B59:D59"/>
    <mergeCell ref="B65:D65"/>
    <mergeCell ref="B66:D66"/>
    <mergeCell ref="B67:D67"/>
    <mergeCell ref="B68:D68"/>
    <mergeCell ref="B72:D72"/>
    <mergeCell ref="B79:D79"/>
    <mergeCell ref="B80:D80"/>
    <mergeCell ref="B69:D69"/>
    <mergeCell ref="B81:D81"/>
    <mergeCell ref="B82:D82"/>
    <mergeCell ref="B74:D74"/>
    <mergeCell ref="B75:D75"/>
    <mergeCell ref="B76:D76"/>
    <mergeCell ref="B77:D77"/>
    <mergeCell ref="B78:D78"/>
    <mergeCell ref="B83:D83"/>
    <mergeCell ref="B84:D84"/>
    <mergeCell ref="B85:D85"/>
    <mergeCell ref="B86:D86"/>
    <mergeCell ref="B87:D87"/>
    <mergeCell ref="B88:D88"/>
    <mergeCell ref="B100:D100"/>
    <mergeCell ref="B101:D101"/>
    <mergeCell ref="B89:D89"/>
    <mergeCell ref="B90:D90"/>
    <mergeCell ref="B91:D91"/>
    <mergeCell ref="B92:D92"/>
    <mergeCell ref="B94:D94"/>
    <mergeCell ref="B95:D95"/>
    <mergeCell ref="B102:D102"/>
    <mergeCell ref="B103:D103"/>
    <mergeCell ref="B104:D104"/>
    <mergeCell ref="B105:D105"/>
    <mergeCell ref="B106:D106"/>
    <mergeCell ref="B93:D93"/>
    <mergeCell ref="B96:D96"/>
    <mergeCell ref="B97:D97"/>
    <mergeCell ref="B98:D98"/>
    <mergeCell ref="B99:D99"/>
    <mergeCell ref="B107:D107"/>
    <mergeCell ref="B108:D108"/>
    <mergeCell ref="B110:D110"/>
    <mergeCell ref="B111:D111"/>
    <mergeCell ref="B112:D112"/>
    <mergeCell ref="B113:D113"/>
    <mergeCell ref="B123:D123"/>
    <mergeCell ref="B124:D124"/>
    <mergeCell ref="B125:D125"/>
    <mergeCell ref="B114:D114"/>
    <mergeCell ref="B115:D115"/>
    <mergeCell ref="B116:D116"/>
    <mergeCell ref="B117:D117"/>
    <mergeCell ref="B118:D118"/>
    <mergeCell ref="B119:D119"/>
    <mergeCell ref="B126:D126"/>
    <mergeCell ref="B127:D127"/>
    <mergeCell ref="B70:D70"/>
    <mergeCell ref="B71:D71"/>
    <mergeCell ref="B46:D46"/>
    <mergeCell ref="B57:D57"/>
    <mergeCell ref="B109:D109"/>
    <mergeCell ref="B120:D120"/>
    <mergeCell ref="B121:D121"/>
    <mergeCell ref="B122:D122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8"/>
  <dimension ref="A1:D5"/>
  <sheetViews>
    <sheetView zoomScalePageLayoutView="0" workbookViewId="0" topLeftCell="A1">
      <selection activeCell="A1" sqref="A1:D1"/>
    </sheetView>
  </sheetViews>
  <sheetFormatPr defaultColWidth="9.140625" defaultRowHeight="21.75"/>
  <sheetData>
    <row r="1" spans="1:4" ht="21.75">
      <c r="A1" s="841" t="s">
        <v>13</v>
      </c>
      <c r="B1" s="841"/>
      <c r="C1" s="841"/>
      <c r="D1" s="841"/>
    </row>
    <row r="2" spans="1:4" ht="21.75">
      <c r="A2" s="841" t="s">
        <v>62</v>
      </c>
      <c r="B2" s="841"/>
      <c r="C2" s="841"/>
      <c r="D2" s="841"/>
    </row>
    <row r="3" spans="1:4" ht="21.75">
      <c r="A3" s="841" t="s">
        <v>64</v>
      </c>
      <c r="B3" s="841"/>
      <c r="C3" s="841"/>
      <c r="D3" s="841"/>
    </row>
    <row r="4" spans="1:4" ht="21.75">
      <c r="A4" s="841" t="s">
        <v>65</v>
      </c>
      <c r="B4" s="841"/>
      <c r="C4" s="841"/>
      <c r="D4" s="841"/>
    </row>
    <row r="5" spans="1:4" ht="21.75">
      <c r="A5" s="841" t="s">
        <v>63</v>
      </c>
      <c r="B5" s="841"/>
      <c r="C5" s="841"/>
      <c r="D5" s="841"/>
    </row>
  </sheetData>
  <sheetProtection/>
  <mergeCells count="5">
    <mergeCell ref="A5:D5"/>
    <mergeCell ref="A1:D1"/>
    <mergeCell ref="A2:D2"/>
    <mergeCell ref="A3:D3"/>
    <mergeCell ref="A4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M24"/>
  <sheetViews>
    <sheetView view="pageBreakPreview" zoomScale="96" zoomScaleNormal="96" zoomScaleSheetLayoutView="96" workbookViewId="0" topLeftCell="A1">
      <selection activeCell="I29" sqref="I29"/>
    </sheetView>
  </sheetViews>
  <sheetFormatPr defaultColWidth="11.421875" defaultRowHeight="21.75"/>
  <cols>
    <col min="1" max="1" width="9.8515625" style="101" customWidth="1"/>
    <col min="2" max="2" width="11.140625" style="101" customWidth="1"/>
    <col min="3" max="3" width="2.8515625" style="101" customWidth="1"/>
    <col min="4" max="4" width="8.8515625" style="101" customWidth="1"/>
    <col min="5" max="5" width="37.57421875" style="101" customWidth="1"/>
    <col min="6" max="7" width="8.8515625" style="101" customWidth="1"/>
    <col min="8" max="8" width="16.140625" style="101" customWidth="1"/>
    <col min="9" max="9" width="31.8515625" style="101" customWidth="1"/>
    <col min="10" max="10" width="11.421875" style="101" customWidth="1"/>
    <col min="11" max="11" width="15.140625" style="102" bestFit="1" customWidth="1"/>
    <col min="12" max="12" width="16.57421875" style="101" customWidth="1"/>
    <col min="13" max="13" width="14.140625" style="101" bestFit="1" customWidth="1"/>
    <col min="14" max="16384" width="11.421875" style="101" customWidth="1"/>
  </cols>
  <sheetData>
    <row r="1" spans="1:9" ht="27">
      <c r="A1" s="636" t="s">
        <v>19</v>
      </c>
      <c r="B1" s="636"/>
      <c r="C1" s="636"/>
      <c r="D1" s="636"/>
      <c r="E1" s="636"/>
      <c r="F1" s="636"/>
      <c r="G1" s="636"/>
      <c r="H1" s="636"/>
      <c r="I1" s="636"/>
    </row>
    <row r="2" spans="1:9" ht="24">
      <c r="A2" s="637" t="s">
        <v>592</v>
      </c>
      <c r="B2" s="637"/>
      <c r="C2" s="637"/>
      <c r="D2" s="637"/>
      <c r="E2" s="637"/>
      <c r="F2" s="637"/>
      <c r="G2" s="637"/>
      <c r="H2" s="637"/>
      <c r="I2" s="637"/>
    </row>
    <row r="3" spans="1:9" ht="24">
      <c r="A3" s="637" t="s">
        <v>13</v>
      </c>
      <c r="B3" s="637"/>
      <c r="C3" s="637"/>
      <c r="D3" s="637"/>
      <c r="E3" s="637"/>
      <c r="F3" s="637"/>
      <c r="G3" s="637"/>
      <c r="H3" s="637"/>
      <c r="I3" s="637"/>
    </row>
    <row r="4" spans="1:9" ht="21.75">
      <c r="A4" s="103" t="s">
        <v>0</v>
      </c>
      <c r="B4" s="638" t="s">
        <v>1</v>
      </c>
      <c r="C4" s="639"/>
      <c r="D4" s="639"/>
      <c r="E4" s="640"/>
      <c r="F4" s="641" t="s">
        <v>11</v>
      </c>
      <c r="G4" s="641"/>
      <c r="H4" s="641"/>
      <c r="I4" s="103" t="s">
        <v>9</v>
      </c>
    </row>
    <row r="5" spans="1:9" ht="21.75">
      <c r="A5" s="104">
        <v>1</v>
      </c>
      <c r="B5" s="669" t="s">
        <v>24</v>
      </c>
      <c r="C5" s="670"/>
      <c r="D5" s="670"/>
      <c r="E5" s="671"/>
      <c r="F5" s="672"/>
      <c r="G5" s="673"/>
      <c r="H5" s="674"/>
      <c r="I5" s="105"/>
    </row>
    <row r="6" spans="1:11" ht="21.75">
      <c r="A6" s="106"/>
      <c r="B6" s="648" t="s">
        <v>25</v>
      </c>
      <c r="C6" s="649"/>
      <c r="D6" s="649"/>
      <c r="E6" s="650"/>
      <c r="F6" s="642">
        <f>'สรุปวัสดุ '!E16</f>
        <v>8066900.26</v>
      </c>
      <c r="G6" s="643"/>
      <c r="H6" s="644"/>
      <c r="I6" s="107"/>
      <c r="K6" s="102" t="s">
        <v>71</v>
      </c>
    </row>
    <row r="7" spans="1:9" ht="21.75">
      <c r="A7" s="106"/>
      <c r="B7" s="648" t="s">
        <v>26</v>
      </c>
      <c r="C7" s="649"/>
      <c r="D7" s="649"/>
      <c r="E7" s="650"/>
      <c r="F7" s="642">
        <f>'สรุปวัสดุ '!F16</f>
        <v>2544221.18</v>
      </c>
      <c r="G7" s="643"/>
      <c r="H7" s="644"/>
      <c r="I7" s="107"/>
    </row>
    <row r="8" spans="1:9" ht="22.5" thickBot="1">
      <c r="A8" s="108"/>
      <c r="B8" s="618" t="s">
        <v>67</v>
      </c>
      <c r="C8" s="619"/>
      <c r="D8" s="619"/>
      <c r="E8" s="620"/>
      <c r="F8" s="645">
        <f>'สรุปวัสดุ '!G16</f>
        <v>10611121.440000001</v>
      </c>
      <c r="G8" s="646"/>
      <c r="H8" s="647"/>
      <c r="I8" s="109"/>
    </row>
    <row r="9" spans="1:9" ht="23.25" thickBot="1" thickTop="1">
      <c r="A9" s="110">
        <f>A5+1</f>
        <v>2</v>
      </c>
      <c r="B9" s="111" t="s">
        <v>68</v>
      </c>
      <c r="C9" s="112" t="s">
        <v>15</v>
      </c>
      <c r="D9" s="113">
        <f>'FACTOR F อาคาร'!H22</f>
        <v>1.2918</v>
      </c>
      <c r="E9" s="114"/>
      <c r="F9" s="615">
        <f>F8*D9</f>
        <v>13707446.676192002</v>
      </c>
      <c r="G9" s="616"/>
      <c r="H9" s="617"/>
      <c r="I9" s="115" t="s">
        <v>69</v>
      </c>
    </row>
    <row r="10" spans="1:9" ht="22.5" thickTop="1">
      <c r="A10" s="116">
        <f>A9+1</f>
        <v>3</v>
      </c>
      <c r="B10" s="663" t="s">
        <v>27</v>
      </c>
      <c r="C10" s="664"/>
      <c r="D10" s="664"/>
      <c r="E10" s="665"/>
      <c r="F10" s="666"/>
      <c r="G10" s="667"/>
      <c r="H10" s="668"/>
      <c r="I10" s="117"/>
    </row>
    <row r="11" spans="1:9" ht="21.75" customHeight="1">
      <c r="A11" s="118">
        <v>3.1</v>
      </c>
      <c r="B11" s="657" t="str">
        <f>งานครุภัณฑ์!B6</f>
        <v>งานครุภัณฑ์</v>
      </c>
      <c r="C11" s="658"/>
      <c r="D11" s="658"/>
      <c r="E11" s="659"/>
      <c r="F11" s="660">
        <f>งานครุภัณฑ์!I34</f>
        <v>1732050</v>
      </c>
      <c r="G11" s="661"/>
      <c r="H11" s="662"/>
      <c r="I11" s="119"/>
    </row>
    <row r="12" spans="1:9" ht="21.75" customHeight="1">
      <c r="A12" s="120"/>
      <c r="B12" s="651" t="s">
        <v>633</v>
      </c>
      <c r="C12" s="652"/>
      <c r="D12" s="652"/>
      <c r="E12" s="653"/>
      <c r="F12" s="654"/>
      <c r="G12" s="655"/>
      <c r="H12" s="656"/>
      <c r="I12" s="121"/>
    </row>
    <row r="13" spans="1:9" ht="21.75" customHeight="1">
      <c r="A13" s="106"/>
      <c r="B13" s="648"/>
      <c r="C13" s="649"/>
      <c r="D13" s="649"/>
      <c r="E13" s="650"/>
      <c r="F13" s="642"/>
      <c r="G13" s="643"/>
      <c r="H13" s="644"/>
      <c r="I13" s="121"/>
    </row>
    <row r="14" spans="1:9" ht="22.5" thickBot="1">
      <c r="A14" s="108"/>
      <c r="B14" s="618"/>
      <c r="C14" s="619"/>
      <c r="D14" s="619"/>
      <c r="E14" s="620"/>
      <c r="F14" s="633">
        <f>F11+F12</f>
        <v>1732050</v>
      </c>
      <c r="G14" s="634"/>
      <c r="H14" s="635"/>
      <c r="I14" s="122"/>
    </row>
    <row r="15" spans="1:13" ht="23.25" thickBot="1" thickTop="1">
      <c r="A15" s="123">
        <f>A10+1</f>
        <v>4</v>
      </c>
      <c r="B15" s="626" t="s">
        <v>16</v>
      </c>
      <c r="C15" s="631"/>
      <c r="D15" s="631"/>
      <c r="E15" s="632"/>
      <c r="F15" s="615">
        <f>SUM(F9+F14)</f>
        <v>15439496.676192002</v>
      </c>
      <c r="G15" s="616"/>
      <c r="H15" s="617"/>
      <c r="I15" s="115" t="s">
        <v>70</v>
      </c>
      <c r="M15" s="124"/>
    </row>
    <row r="16" spans="1:13" ht="23.25" thickBot="1" thickTop="1">
      <c r="A16" s="125">
        <f>SUM(A15+1)</f>
        <v>5</v>
      </c>
      <c r="B16" s="626" t="s">
        <v>72</v>
      </c>
      <c r="C16" s="627"/>
      <c r="D16" s="627"/>
      <c r="E16" s="628"/>
      <c r="F16" s="615">
        <f>INT(F15/100)*100</f>
        <v>15439400</v>
      </c>
      <c r="G16" s="629"/>
      <c r="H16" s="630"/>
      <c r="I16" s="126"/>
      <c r="M16" s="318"/>
    </row>
    <row r="17" spans="1:13" ht="26.25" customHeight="1" thickTop="1">
      <c r="A17" s="623" t="str">
        <f>"("&amp;_xlfn.BAHTTEXT(F16)&amp;")"</f>
        <v>(สิบห้าล้านสี่แสนสามหมื่นเก้าพันสี่ร้อยบาทถ้วน)</v>
      </c>
      <c r="B17" s="624"/>
      <c r="C17" s="624"/>
      <c r="D17" s="624"/>
      <c r="E17" s="624"/>
      <c r="F17" s="624"/>
      <c r="G17" s="624"/>
      <c r="H17" s="624"/>
      <c r="I17" s="625"/>
      <c r="M17" s="127"/>
    </row>
    <row r="18" spans="2:9" ht="21.75">
      <c r="B18" s="128"/>
      <c r="C18" s="128"/>
      <c r="D18" s="128"/>
      <c r="E18" s="128"/>
      <c r="F18" s="128"/>
      <c r="G18" s="128"/>
      <c r="H18" s="128"/>
      <c r="I18" s="129"/>
    </row>
    <row r="19" spans="6:13" ht="21.75">
      <c r="F19" s="130"/>
      <c r="G19" s="622"/>
      <c r="H19" s="622"/>
      <c r="I19" s="622"/>
      <c r="L19" s="601"/>
      <c r="M19" s="601"/>
    </row>
    <row r="20" spans="7:13" ht="21.75">
      <c r="G20" s="622"/>
      <c r="H20" s="622"/>
      <c r="I20" s="622"/>
      <c r="L20" s="602"/>
      <c r="M20" s="601"/>
    </row>
    <row r="21" spans="7:13" ht="21.75">
      <c r="G21" s="621"/>
      <c r="H21" s="621"/>
      <c r="I21" s="621"/>
      <c r="L21" s="601"/>
      <c r="M21" s="601"/>
    </row>
    <row r="22" spans="2:4" ht="21.75">
      <c r="B22" s="131"/>
      <c r="C22" s="102"/>
      <c r="D22" s="102"/>
    </row>
    <row r="23" spans="2:12" ht="21.75">
      <c r="B23" s="131"/>
      <c r="F23" s="102"/>
      <c r="L23" s="600"/>
    </row>
    <row r="24" spans="2:6" ht="21.75">
      <c r="B24" s="102"/>
      <c r="F24" s="102"/>
    </row>
  </sheetData>
  <sheetProtection formatCells="0" formatColumns="0" formatRows="0" insertColumns="0" insertRows="0" insertHyperlinks="0" deleteColumns="0" deleteRows="0" selectLockedCells="1" sort="0" autoFilter="0" pivotTables="0"/>
  <mergeCells count="32">
    <mergeCell ref="B10:E10"/>
    <mergeCell ref="F10:H10"/>
    <mergeCell ref="B5:E5"/>
    <mergeCell ref="B7:E7"/>
    <mergeCell ref="B8:E8"/>
    <mergeCell ref="F5:H5"/>
    <mergeCell ref="F6:H6"/>
    <mergeCell ref="B6:E6"/>
    <mergeCell ref="B13:E13"/>
    <mergeCell ref="F13:H13"/>
    <mergeCell ref="B12:E12"/>
    <mergeCell ref="F12:H12"/>
    <mergeCell ref="B11:E11"/>
    <mergeCell ref="F11:H11"/>
    <mergeCell ref="A1:I1"/>
    <mergeCell ref="A2:I2"/>
    <mergeCell ref="B4:E4"/>
    <mergeCell ref="F4:H4"/>
    <mergeCell ref="A3:I3"/>
    <mergeCell ref="F9:H9"/>
    <mergeCell ref="F7:H7"/>
    <mergeCell ref="F8:H8"/>
    <mergeCell ref="F15:H15"/>
    <mergeCell ref="B14:E14"/>
    <mergeCell ref="G21:I21"/>
    <mergeCell ref="G20:I20"/>
    <mergeCell ref="G19:I19"/>
    <mergeCell ref="A17:I17"/>
    <mergeCell ref="B16:E16"/>
    <mergeCell ref="F16:H16"/>
    <mergeCell ref="B15:E15"/>
    <mergeCell ref="F14:H14"/>
  </mergeCells>
  <printOptions/>
  <pageMargins left="0.7086614173228347" right="0.35433070866141736" top="0.8661417322834646" bottom="1.1023622047244095" header="0.5118110236220472" footer="0.5118110236220472"/>
  <pageSetup horizontalDpi="600" verticalDpi="600" orientation="landscape" paperSize="9" r:id="rId2"/>
  <headerFooter alignWithMargins="0">
    <oddHeader>&amp;L&amp;"TH Sarabun New,Regular"สรุปบัญชีราคาค่าก่อสร้าง&amp;R&amp;"TH Sarabun New,Regular"ปร.6  &amp;P/&amp;N</oddHeader>
    <oddFooter>&amp;L&amp;"TH Sarabun New,Regular"&amp;12หมายเหตุ บัญชีปริมาณงานฉบับนี้ผู้เสนอราคาจะต้องตรวจสอบรายละเอียดจากแบบรูปรายการโดยละเอียดอีกครั้ง หากปรากฏภายหลังว่าบัญชีปริมาณงานกับแบบรูปรายการขัดแย้งกัน ให้ยึดตามแบบรูปรายการ หรือคำวินิจฉัยของผู้ว่าจ้าง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J23"/>
  <sheetViews>
    <sheetView showGridLines="0" view="pageBreakPreview" zoomScale="118" zoomScaleSheetLayoutView="118" workbookViewId="0" topLeftCell="A1">
      <selection activeCell="F6" sqref="F6"/>
    </sheetView>
  </sheetViews>
  <sheetFormatPr defaultColWidth="11.421875" defaultRowHeight="21.75"/>
  <cols>
    <col min="1" max="1" width="8.8515625" style="132" customWidth="1"/>
    <col min="2" max="2" width="25.8515625" style="132" customWidth="1"/>
    <col min="3" max="3" width="3.00390625" style="132" customWidth="1"/>
    <col min="4" max="4" width="24.140625" style="132" customWidth="1"/>
    <col min="5" max="5" width="22.140625" style="132" customWidth="1"/>
    <col min="6" max="6" width="22.57421875" style="132" customWidth="1"/>
    <col min="7" max="7" width="22.00390625" style="132" customWidth="1"/>
    <col min="8" max="8" width="18.8515625" style="132" customWidth="1"/>
    <col min="9" max="9" width="11.421875" style="132" customWidth="1"/>
    <col min="10" max="10" width="13.140625" style="132" bestFit="1" customWidth="1"/>
    <col min="11" max="16384" width="11.421875" style="132" customWidth="1"/>
  </cols>
  <sheetData>
    <row r="1" spans="1:8" ht="27">
      <c r="A1" s="685" t="s">
        <v>17</v>
      </c>
      <c r="B1" s="685"/>
      <c r="C1" s="685"/>
      <c r="D1" s="685"/>
      <c r="E1" s="685"/>
      <c r="F1" s="685"/>
      <c r="G1" s="685"/>
      <c r="H1" s="685"/>
    </row>
    <row r="2" spans="1:8" ht="24">
      <c r="A2" s="686" t="str">
        <f>(สรุป!A2)</f>
        <v>ปรับปรุงศูนย์เวชศาสตร์ฟื้นฟูและดูแลผู้สูงวัย</v>
      </c>
      <c r="B2" s="686"/>
      <c r="C2" s="686"/>
      <c r="D2" s="686"/>
      <c r="E2" s="686"/>
      <c r="F2" s="686"/>
      <c r="G2" s="686"/>
      <c r="H2" s="686"/>
    </row>
    <row r="3" spans="1:8" ht="24">
      <c r="A3" s="686" t="str">
        <f>(สรุป!A3)</f>
        <v>มหาวิทยาลัยราชภัฏอุตรดิตถ์</v>
      </c>
      <c r="B3" s="686"/>
      <c r="C3" s="686"/>
      <c r="D3" s="686"/>
      <c r="E3" s="686"/>
      <c r="F3" s="686"/>
      <c r="G3" s="686"/>
      <c r="H3" s="686"/>
    </row>
    <row r="4" spans="1:8" ht="21.75">
      <c r="A4" s="687" t="s">
        <v>0</v>
      </c>
      <c r="B4" s="689" t="s">
        <v>1</v>
      </c>
      <c r="C4" s="690"/>
      <c r="D4" s="691"/>
      <c r="E4" s="133" t="s">
        <v>4</v>
      </c>
      <c r="F4" s="134" t="s">
        <v>14</v>
      </c>
      <c r="G4" s="134" t="s">
        <v>21</v>
      </c>
      <c r="H4" s="687" t="s">
        <v>22</v>
      </c>
    </row>
    <row r="5" spans="1:8" ht="21.75">
      <c r="A5" s="688"/>
      <c r="B5" s="692"/>
      <c r="C5" s="693"/>
      <c r="D5" s="694"/>
      <c r="E5" s="135" t="s">
        <v>11</v>
      </c>
      <c r="F5" s="135" t="s">
        <v>11</v>
      </c>
      <c r="G5" s="135" t="s">
        <v>11</v>
      </c>
      <c r="H5" s="688"/>
    </row>
    <row r="6" spans="1:10" ht="21.75">
      <c r="A6" s="136">
        <v>1</v>
      </c>
      <c r="B6" s="679" t="str">
        <f>'งานสถาปัตยกรรม ชั้น 1'!B6</f>
        <v>งานปรับปรุง ชั้น 1</v>
      </c>
      <c r="C6" s="680"/>
      <c r="D6" s="681"/>
      <c r="E6" s="140">
        <f>'งานสถาปัตยกรรม ชั้น 1'!F501</f>
        <v>5061384.36</v>
      </c>
      <c r="F6" s="140">
        <f>'งานสถาปัตยกรรม ชั้น 1'!H501</f>
        <v>1286787.83</v>
      </c>
      <c r="G6" s="141">
        <f>'งานสถาปัตยกรรม ชั้น 1'!I501</f>
        <v>6348172.1899999995</v>
      </c>
      <c r="H6" s="142">
        <f aca="true" t="shared" si="0" ref="H6:H13">IF(((E6+F6)=G6),G6/E$17,"Try again")</f>
        <v>0.5982564826814383</v>
      </c>
      <c r="I6" s="143"/>
      <c r="J6" s="143"/>
    </row>
    <row r="7" spans="1:10" ht="21.75">
      <c r="A7" s="136">
        <v>2</v>
      </c>
      <c r="B7" s="679" t="str">
        <f>'งานสถาปัตยกรรม ชั้น 2'!B6</f>
        <v>งานปรับปรุง ชั้น 2</v>
      </c>
      <c r="C7" s="680"/>
      <c r="D7" s="681"/>
      <c r="E7" s="140">
        <f>'งานสถาปัตยกรรม ชั้น 2'!F82</f>
        <v>359558.85</v>
      </c>
      <c r="F7" s="140">
        <f>'งานสถาปัตยกรรม ชั้น 2'!H82</f>
        <v>120648.54999999999</v>
      </c>
      <c r="G7" s="141">
        <f>'งานสถาปัตยกรรม ชั้น 2'!I82</f>
        <v>480207.4</v>
      </c>
      <c r="H7" s="142">
        <f t="shared" si="0"/>
        <v>0.04525510359251905</v>
      </c>
      <c r="I7" s="143"/>
      <c r="J7" s="143"/>
    </row>
    <row r="8" spans="1:10" ht="21.75">
      <c r="A8" s="136">
        <v>3</v>
      </c>
      <c r="B8" s="679" t="str">
        <f>งานปรับปรุงอื่นๆ!B6</f>
        <v>งานปรับปรุงอื่นๆ</v>
      </c>
      <c r="C8" s="680"/>
      <c r="D8" s="681"/>
      <c r="E8" s="140">
        <f>งานปรับปรุงอื่นๆ!F41</f>
        <v>1192273.5</v>
      </c>
      <c r="F8" s="140">
        <f>งานปรับปรุงอื่นๆ!H41</f>
        <v>334773.5</v>
      </c>
      <c r="G8" s="141">
        <f>งานปรับปรุงอื่นๆ!I41</f>
        <v>1527047</v>
      </c>
      <c r="H8" s="142">
        <f t="shared" si="0"/>
        <v>0.1439100483991822</v>
      </c>
      <c r="I8" s="143"/>
      <c r="J8" s="143"/>
    </row>
    <row r="9" spans="1:10" ht="21.75">
      <c r="A9" s="136">
        <v>4</v>
      </c>
      <c r="B9" s="137" t="str">
        <f>'งานถนน-ทางเท้าและซุ้มทางเข้า'!B6</f>
        <v>งานปรับปรุงซุ้มทางเข้าอาคาร</v>
      </c>
      <c r="C9" s="138"/>
      <c r="D9" s="139"/>
      <c r="E9" s="140">
        <f>'งานถนน-ทางเท้าและซุ้มทางเข้า'!F20</f>
        <v>291455.5</v>
      </c>
      <c r="F9" s="140">
        <f>'งานถนน-ทางเท้าและซุ้มทางเข้า'!H20</f>
        <v>117662.65</v>
      </c>
      <c r="G9" s="141">
        <f>'งานถนน-ทางเท้าและซุ้มทางเข้า'!I20</f>
        <v>409118.15</v>
      </c>
      <c r="H9" s="142">
        <f t="shared" si="0"/>
        <v>0.038555599642633054</v>
      </c>
      <c r="I9" s="143"/>
      <c r="J9" s="143"/>
    </row>
    <row r="10" spans="1:10" ht="21.75">
      <c r="A10" s="136">
        <v>5</v>
      </c>
      <c r="B10" s="679" t="str">
        <f>งานโครงสร้างถังน้ำดีและน้ำเสีย!B6</f>
        <v> งานโครงสร้างฐานรับถังบำบัดน้ำเสีย</v>
      </c>
      <c r="C10" s="680"/>
      <c r="D10" s="681"/>
      <c r="E10" s="140">
        <f>งานโครงสร้างถังน้ำดีและน้ำเสีย!F16</f>
        <v>57620</v>
      </c>
      <c r="F10" s="140">
        <f>งานโครงสร้างถังน้ำดีและน้ำเสีย!H16</f>
        <v>52850</v>
      </c>
      <c r="G10" s="141">
        <f>งานโครงสร้างถังน้ำดีและน้ำเสีย!I16</f>
        <v>110470</v>
      </c>
      <c r="H10" s="142">
        <f t="shared" si="0"/>
        <v>0.010410775206432845</v>
      </c>
      <c r="I10" s="143"/>
      <c r="J10" s="143"/>
    </row>
    <row r="11" spans="1:10" ht="21.75">
      <c r="A11" s="136">
        <v>6</v>
      </c>
      <c r="B11" s="679" t="str">
        <f>งานระบบไฟฟ้าและสื่อสาร!B6</f>
        <v>งานระบบไฟฟ้าและสื่อสาร</v>
      </c>
      <c r="C11" s="680"/>
      <c r="D11" s="681"/>
      <c r="E11" s="140">
        <f>งานระบบไฟฟ้าและสื่อสาร!F86</f>
        <v>209278.19999999998</v>
      </c>
      <c r="F11" s="140">
        <f>งานระบบไฟฟ้าและสื่อสาร!H86</f>
        <v>177704.85</v>
      </c>
      <c r="G11" s="141">
        <f>งานระบบไฟฟ้าและสื่อสาร!I86</f>
        <v>386983.05</v>
      </c>
      <c r="H11" s="142">
        <f t="shared" si="0"/>
        <v>0.036469571306687446</v>
      </c>
      <c r="I11" s="143"/>
      <c r="J11" s="143"/>
    </row>
    <row r="12" spans="1:10" ht="21.75">
      <c r="A12" s="136">
        <v>7</v>
      </c>
      <c r="B12" s="679" t="str">
        <f>'งานระบบประปา-สุขาภิบาลฯ'!B6</f>
        <v>งานระบบประปา-สุขาภิบาลและป้องกันอัคคีภัย</v>
      </c>
      <c r="C12" s="680"/>
      <c r="D12" s="681"/>
      <c r="E12" s="140">
        <f>'งานระบบประปา-สุขาภิบาลฯ'!F107</f>
        <v>792490.85</v>
      </c>
      <c r="F12" s="140">
        <f>'งานระบบประปา-สุขาภิบาลฯ'!H107</f>
        <v>410355.8</v>
      </c>
      <c r="G12" s="141">
        <f>'งานระบบประปา-สุขาภิบาลฯ'!I107</f>
        <v>1202846.6500000001</v>
      </c>
      <c r="H12" s="142">
        <f t="shared" si="0"/>
        <v>0.1133571655740093</v>
      </c>
      <c r="I12" s="143"/>
      <c r="J12" s="143"/>
    </row>
    <row r="13" spans="1:10" ht="21.75">
      <c r="A13" s="136">
        <v>8</v>
      </c>
      <c r="B13" s="679" t="str">
        <f>ระบบปรับอากาศและระบายอากาศ!B6</f>
        <v>งานระบบปรับอากาศและระบายอากาศ</v>
      </c>
      <c r="C13" s="680"/>
      <c r="D13" s="681"/>
      <c r="E13" s="140">
        <f>ระบบปรับอากาศและระบายอากาศ!F25</f>
        <v>102839</v>
      </c>
      <c r="F13" s="140">
        <f>ระบบปรับอากาศและระบายอากาศ!H25</f>
        <v>43438</v>
      </c>
      <c r="G13" s="141">
        <f>ระบบปรับอากาศและระบายอากาศ!I25</f>
        <v>146277</v>
      </c>
      <c r="H13" s="142">
        <f t="shared" si="0"/>
        <v>0.013785253597097648</v>
      </c>
      <c r="I13" s="143"/>
      <c r="J13" s="143"/>
    </row>
    <row r="14" spans="1:10" ht="21.75">
      <c r="A14" s="136"/>
      <c r="B14" s="679"/>
      <c r="C14" s="680"/>
      <c r="D14" s="681"/>
      <c r="E14" s="140"/>
      <c r="F14" s="140"/>
      <c r="G14" s="141"/>
      <c r="H14" s="142"/>
      <c r="I14" s="143"/>
      <c r="J14" s="143"/>
    </row>
    <row r="15" spans="1:10" ht="21.75">
      <c r="A15" s="136"/>
      <c r="B15" s="137"/>
      <c r="C15" s="138"/>
      <c r="D15" s="139"/>
      <c r="E15" s="140"/>
      <c r="F15" s="140"/>
      <c r="G15" s="141"/>
      <c r="H15" s="142"/>
      <c r="I15" s="143"/>
      <c r="J15" s="143"/>
    </row>
    <row r="16" spans="1:8" ht="21.75">
      <c r="A16" s="136"/>
      <c r="B16" s="679" t="s">
        <v>20</v>
      </c>
      <c r="C16" s="680"/>
      <c r="D16" s="681"/>
      <c r="E16" s="144">
        <f>SUM(E6:E14)</f>
        <v>8066900.26</v>
      </c>
      <c r="F16" s="144">
        <f>SUM(F6:F14)</f>
        <v>2544221.18</v>
      </c>
      <c r="G16" s="144">
        <f>SUM(G6:G14)</f>
        <v>10611121.440000001</v>
      </c>
      <c r="H16" s="145">
        <f>SUM(H6:H14)</f>
        <v>0.9999999999999999</v>
      </c>
    </row>
    <row r="17" spans="1:10" ht="21.75">
      <c r="A17" s="146"/>
      <c r="B17" s="682" t="s">
        <v>12</v>
      </c>
      <c r="C17" s="683"/>
      <c r="D17" s="684"/>
      <c r="E17" s="675">
        <f>IF((E16+F16)=G16,G16,"Try again")</f>
        <v>10611121.440000001</v>
      </c>
      <c r="F17" s="676"/>
      <c r="G17" s="677" t="s">
        <v>10</v>
      </c>
      <c r="H17" s="678"/>
      <c r="J17" s="143"/>
    </row>
    <row r="18" spans="1:8" ht="24">
      <c r="A18" s="147"/>
      <c r="B18" s="148"/>
      <c r="C18" s="148"/>
      <c r="D18" s="148"/>
      <c r="E18" s="149"/>
      <c r="F18" s="149"/>
      <c r="G18" s="149"/>
      <c r="H18" s="150"/>
    </row>
    <row r="19" spans="1:8" ht="24">
      <c r="A19" s="147"/>
      <c r="B19" s="148"/>
      <c r="C19" s="148"/>
      <c r="D19" s="148"/>
      <c r="E19" s="149"/>
      <c r="F19" s="151"/>
      <c r="G19" s="149"/>
      <c r="H19" s="150"/>
    </row>
    <row r="20" spans="1:8" ht="24">
      <c r="A20" s="147"/>
      <c r="B20" s="148"/>
      <c r="C20" s="148"/>
      <c r="D20" s="148"/>
      <c r="E20" s="149"/>
      <c r="F20" s="151"/>
      <c r="G20" s="149"/>
      <c r="H20" s="150"/>
    </row>
    <row r="21" spans="2:3" ht="21.75">
      <c r="B21" s="143"/>
      <c r="C21" s="143"/>
    </row>
    <row r="22" ht="21.75">
      <c r="E22" s="143"/>
    </row>
    <row r="23" ht="21.75">
      <c r="E23" s="143"/>
    </row>
  </sheetData>
  <sheetProtection formatCells="0" formatColumns="0" formatRows="0" insertColumns="0" insertRows="0" insertHyperlinks="0" deleteColumns="0" deleteRows="0" selectLockedCells="1" sort="0" autoFilter="0" pivotTables="0"/>
  <mergeCells count="18">
    <mergeCell ref="B7:D7"/>
    <mergeCell ref="B8:D8"/>
    <mergeCell ref="A1:H1"/>
    <mergeCell ref="A2:H2"/>
    <mergeCell ref="A3:H3"/>
    <mergeCell ref="A4:A5"/>
    <mergeCell ref="B4:D5"/>
    <mergeCell ref="H4:H5"/>
    <mergeCell ref="E17:F17"/>
    <mergeCell ref="G17:H17"/>
    <mergeCell ref="B6:D6"/>
    <mergeCell ref="B13:D13"/>
    <mergeCell ref="B14:D14"/>
    <mergeCell ref="B16:D16"/>
    <mergeCell ref="B17:D17"/>
    <mergeCell ref="B10:D10"/>
    <mergeCell ref="B11:D11"/>
    <mergeCell ref="B12:D12"/>
  </mergeCells>
  <printOptions/>
  <pageMargins left="0.4330708661417323" right="0" top="0.8661417322834646" bottom="1.1023622047244095" header="0.5118110236220472" footer="0.5118110236220472"/>
  <pageSetup horizontalDpi="600" verticalDpi="600" orientation="landscape" paperSize="9" r:id="rId2"/>
  <headerFooter alignWithMargins="0">
    <oddHeader>&amp;L&amp;"TH Sarabun New,Regular"สรุปบัญชีแสดงปริมาณวัสดุ แรงงาน และประมาณราคาค่าก่อสร้าง&amp;R&amp;"TH Sarabun New,Regular"ปร.5  &amp;P/&amp;N</oddHeader>
    <oddFooter>&amp;L&amp;"TH Sarabun New,Regular"&amp;12หมายเหตุ บัญชีปริมาณงานฉบับนี้ผู้เสนอราคาจะต้องตรวจสอบรายละเอียดจากแบบรูปรายการโดยละเอียดอีกครั้ง หากปรากฏภายหลังว่าบัญชีปริมาณงานกับแบบรูปรายการขัดแย้งกัน ให้ยึดตามแบบรูปรายการ หรือคำวินิจฉัยของผู้ว่าจ้าง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34"/>
  <sheetViews>
    <sheetView view="pageBreakPreview" zoomScale="110" zoomScaleSheetLayoutView="110" workbookViewId="0" topLeftCell="A28">
      <selection activeCell="K39" sqref="K39"/>
    </sheetView>
  </sheetViews>
  <sheetFormatPr defaultColWidth="11.421875" defaultRowHeight="21.75"/>
  <cols>
    <col min="1" max="1" width="8.8515625" style="351" customWidth="1"/>
    <col min="2" max="2" width="57.421875" style="321" customWidth="1"/>
    <col min="3" max="3" width="10.421875" style="352" customWidth="1"/>
    <col min="4" max="4" width="10.421875" style="351" customWidth="1"/>
    <col min="5" max="5" width="12.421875" style="352" customWidth="1"/>
    <col min="6" max="6" width="15.140625" style="352" customWidth="1"/>
    <col min="7" max="7" width="12.421875" style="352" customWidth="1"/>
    <col min="8" max="8" width="13.8515625" style="352" customWidth="1"/>
    <col min="9" max="9" width="15.421875" style="352" customWidth="1"/>
    <col min="10" max="10" width="30.140625" style="321" customWidth="1"/>
    <col min="11" max="11" width="24.421875" style="321" customWidth="1"/>
    <col min="12" max="16384" width="11.421875" style="321" customWidth="1"/>
  </cols>
  <sheetData>
    <row r="1" spans="1:9" ht="21.75">
      <c r="A1" s="697" t="s">
        <v>18</v>
      </c>
      <c r="B1" s="697"/>
      <c r="C1" s="697"/>
      <c r="D1" s="697"/>
      <c r="E1" s="697"/>
      <c r="F1" s="697"/>
      <c r="G1" s="697"/>
      <c r="H1" s="697"/>
      <c r="I1" s="697"/>
    </row>
    <row r="2" spans="1:9" ht="21.75">
      <c r="A2" s="698" t="str">
        <f>(สรุป!A2)</f>
        <v>ปรับปรุงศูนย์เวชศาสตร์ฟื้นฟูและดูแลผู้สูงวัย</v>
      </c>
      <c r="B2" s="698"/>
      <c r="C2" s="698"/>
      <c r="D2" s="698"/>
      <c r="E2" s="698"/>
      <c r="F2" s="698"/>
      <c r="G2" s="698"/>
      <c r="H2" s="698"/>
      <c r="I2" s="698"/>
    </row>
    <row r="3" spans="1:9" ht="21.75">
      <c r="A3" s="698" t="str">
        <f>(สรุป!A3)</f>
        <v>มหาวิทยาลัยราชภัฏอุตรดิตถ์</v>
      </c>
      <c r="B3" s="698"/>
      <c r="C3" s="698"/>
      <c r="D3" s="698"/>
      <c r="E3" s="698"/>
      <c r="F3" s="698"/>
      <c r="G3" s="698"/>
      <c r="H3" s="698"/>
      <c r="I3" s="698"/>
    </row>
    <row r="4" spans="1:9" ht="21.75">
      <c r="A4" s="699" t="s">
        <v>0</v>
      </c>
      <c r="B4" s="701" t="s">
        <v>1</v>
      </c>
      <c r="C4" s="695" t="s">
        <v>2</v>
      </c>
      <c r="D4" s="699" t="s">
        <v>3</v>
      </c>
      <c r="E4" s="704" t="s">
        <v>4</v>
      </c>
      <c r="F4" s="705"/>
      <c r="G4" s="706" t="s">
        <v>5</v>
      </c>
      <c r="H4" s="705"/>
      <c r="I4" s="695" t="s">
        <v>6</v>
      </c>
    </row>
    <row r="5" spans="1:9" ht="21.75">
      <c r="A5" s="700"/>
      <c r="B5" s="702"/>
      <c r="C5" s="703"/>
      <c r="D5" s="700"/>
      <c r="E5" s="70" t="s">
        <v>7</v>
      </c>
      <c r="F5" s="263" t="s">
        <v>8</v>
      </c>
      <c r="G5" s="70" t="s">
        <v>7</v>
      </c>
      <c r="H5" s="70" t="s">
        <v>8</v>
      </c>
      <c r="I5" s="696"/>
    </row>
    <row r="6" spans="1:9" ht="21.75" customHeight="1">
      <c r="A6" s="322">
        <v>1</v>
      </c>
      <c r="B6" s="323" t="s">
        <v>246</v>
      </c>
      <c r="C6" s="152"/>
      <c r="D6" s="153"/>
      <c r="E6" s="154"/>
      <c r="F6" s="264"/>
      <c r="G6" s="154"/>
      <c r="H6" s="154"/>
      <c r="I6" s="152"/>
    </row>
    <row r="7" spans="1:9" s="326" customFormat="1" ht="21.75">
      <c r="A7" s="324">
        <v>1.1</v>
      </c>
      <c r="B7" s="325" t="s">
        <v>632</v>
      </c>
      <c r="C7" s="231"/>
      <c r="D7" s="231"/>
      <c r="E7" s="231"/>
      <c r="F7" s="265"/>
      <c r="G7" s="231"/>
      <c r="H7" s="155"/>
      <c r="I7" s="155"/>
    </row>
    <row r="8" spans="1:9" s="326" customFormat="1" ht="43.5">
      <c r="A8" s="327"/>
      <c r="B8" s="328" t="s">
        <v>603</v>
      </c>
      <c r="C8" s="156">
        <v>6</v>
      </c>
      <c r="D8" s="162" t="s">
        <v>75</v>
      </c>
      <c r="E8" s="156">
        <v>5500</v>
      </c>
      <c r="F8" s="266">
        <f>+C8*E8</f>
        <v>33000</v>
      </c>
      <c r="G8" s="156">
        <v>0</v>
      </c>
      <c r="H8" s="156">
        <f>+G8*C8</f>
        <v>0</v>
      </c>
      <c r="I8" s="156">
        <f>+F8+H8</f>
        <v>33000</v>
      </c>
    </row>
    <row r="9" spans="1:9" s="326" customFormat="1" ht="21.75">
      <c r="A9" s="327"/>
      <c r="B9" s="287" t="s">
        <v>596</v>
      </c>
      <c r="C9" s="157">
        <v>5</v>
      </c>
      <c r="D9" s="167" t="s">
        <v>75</v>
      </c>
      <c r="E9" s="157">
        <v>4500</v>
      </c>
      <c r="F9" s="267">
        <f>+C9*E9</f>
        <v>22500</v>
      </c>
      <c r="G9" s="157">
        <v>0</v>
      </c>
      <c r="H9" s="157">
        <f>+G9*C9</f>
        <v>0</v>
      </c>
      <c r="I9" s="157">
        <f>+F9+H9</f>
        <v>22500</v>
      </c>
    </row>
    <row r="10" spans="1:9" s="326" customFormat="1" ht="21.75">
      <c r="A10" s="327"/>
      <c r="B10" s="287" t="s">
        <v>597</v>
      </c>
      <c r="C10" s="157">
        <v>6</v>
      </c>
      <c r="D10" s="167" t="s">
        <v>75</v>
      </c>
      <c r="E10" s="157">
        <v>550</v>
      </c>
      <c r="F10" s="267">
        <f>+C10*E10</f>
        <v>3300</v>
      </c>
      <c r="G10" s="157">
        <v>0</v>
      </c>
      <c r="H10" s="157">
        <f>+G10*C10</f>
        <v>0</v>
      </c>
      <c r="I10" s="157">
        <f>+F10+H10</f>
        <v>3300</v>
      </c>
    </row>
    <row r="11" spans="1:9" ht="21.75">
      <c r="A11" s="324">
        <v>1.2</v>
      </c>
      <c r="B11" s="325" t="s">
        <v>247</v>
      </c>
      <c r="C11" s="231"/>
      <c r="D11" s="231"/>
      <c r="E11" s="231"/>
      <c r="F11" s="265"/>
      <c r="G11" s="231"/>
      <c r="H11" s="155"/>
      <c r="I11" s="155"/>
    </row>
    <row r="12" spans="1:9" ht="21.75">
      <c r="A12" s="327"/>
      <c r="B12" s="287" t="s">
        <v>596</v>
      </c>
      <c r="C12" s="157">
        <v>16</v>
      </c>
      <c r="D12" s="167" t="s">
        <v>75</v>
      </c>
      <c r="E12" s="157">
        <v>4500</v>
      </c>
      <c r="F12" s="267">
        <f>+C12*E12</f>
        <v>72000</v>
      </c>
      <c r="G12" s="157">
        <v>0</v>
      </c>
      <c r="H12" s="157">
        <f>+G12*C12</f>
        <v>0</v>
      </c>
      <c r="I12" s="157">
        <f>+F12+H12</f>
        <v>72000</v>
      </c>
    </row>
    <row r="13" spans="1:9" ht="21.75">
      <c r="A13" s="327"/>
      <c r="B13" s="287" t="s">
        <v>597</v>
      </c>
      <c r="C13" s="157">
        <v>2</v>
      </c>
      <c r="D13" s="167" t="s">
        <v>75</v>
      </c>
      <c r="E13" s="157">
        <v>550</v>
      </c>
      <c r="F13" s="267">
        <f>+C13*E13</f>
        <v>1100</v>
      </c>
      <c r="G13" s="157">
        <v>0</v>
      </c>
      <c r="H13" s="157">
        <f>+G13*C13</f>
        <v>0</v>
      </c>
      <c r="I13" s="157">
        <f>+F13+H13</f>
        <v>1100</v>
      </c>
    </row>
    <row r="14" spans="1:9" ht="21.75">
      <c r="A14" s="324">
        <v>1.3</v>
      </c>
      <c r="B14" s="325" t="s">
        <v>591</v>
      </c>
      <c r="C14" s="231"/>
      <c r="D14" s="231"/>
      <c r="E14" s="231"/>
      <c r="F14" s="265"/>
      <c r="G14" s="231"/>
      <c r="H14" s="155"/>
      <c r="I14" s="155"/>
    </row>
    <row r="15" spans="1:11" ht="21.75">
      <c r="A15" s="327"/>
      <c r="B15" s="287" t="s">
        <v>596</v>
      </c>
      <c r="C15" s="157">
        <v>10</v>
      </c>
      <c r="D15" s="167" t="s">
        <v>75</v>
      </c>
      <c r="E15" s="157">
        <v>4500</v>
      </c>
      <c r="F15" s="267">
        <f>+C15*E15</f>
        <v>45000</v>
      </c>
      <c r="G15" s="157">
        <v>0</v>
      </c>
      <c r="H15" s="157">
        <f>+G15*C15</f>
        <v>0</v>
      </c>
      <c r="I15" s="157">
        <f>+F15+H15</f>
        <v>45000</v>
      </c>
      <c r="K15" s="329"/>
    </row>
    <row r="16" spans="1:11" ht="21.75">
      <c r="A16" s="327"/>
      <c r="B16" s="287" t="s">
        <v>597</v>
      </c>
      <c r="C16" s="157">
        <v>6</v>
      </c>
      <c r="D16" s="167" t="s">
        <v>75</v>
      </c>
      <c r="E16" s="157">
        <v>550</v>
      </c>
      <c r="F16" s="267">
        <f>+C16*E16</f>
        <v>3300</v>
      </c>
      <c r="G16" s="157">
        <v>0</v>
      </c>
      <c r="H16" s="157">
        <f>+G16*C16</f>
        <v>0</v>
      </c>
      <c r="I16" s="157">
        <f>+F16+H16</f>
        <v>3300</v>
      </c>
      <c r="K16" s="329"/>
    </row>
    <row r="17" spans="1:11" ht="21.75">
      <c r="A17" s="324">
        <v>1.4</v>
      </c>
      <c r="B17" s="288" t="s">
        <v>248</v>
      </c>
      <c r="C17" s="231"/>
      <c r="D17" s="231"/>
      <c r="E17" s="231"/>
      <c r="F17" s="265"/>
      <c r="G17" s="231"/>
      <c r="H17" s="155"/>
      <c r="I17" s="155"/>
      <c r="K17" s="330"/>
    </row>
    <row r="18" spans="1:11" ht="21.75">
      <c r="A18" s="327"/>
      <c r="B18" s="287" t="s">
        <v>596</v>
      </c>
      <c r="C18" s="157">
        <v>16</v>
      </c>
      <c r="D18" s="167" t="s">
        <v>75</v>
      </c>
      <c r="E18" s="157">
        <v>4500</v>
      </c>
      <c r="F18" s="267">
        <f>+C18*E18</f>
        <v>72000</v>
      </c>
      <c r="G18" s="157">
        <v>0</v>
      </c>
      <c r="H18" s="157">
        <f>+G18*C18</f>
        <v>0</v>
      </c>
      <c r="I18" s="157">
        <f>+F18+H18</f>
        <v>72000</v>
      </c>
      <c r="K18" s="329"/>
    </row>
    <row r="19" spans="1:11" ht="21.75">
      <c r="A19" s="331"/>
      <c r="B19" s="285" t="s">
        <v>598</v>
      </c>
      <c r="C19" s="163">
        <v>3</v>
      </c>
      <c r="D19" s="332" t="s">
        <v>75</v>
      </c>
      <c r="E19" s="163">
        <v>550</v>
      </c>
      <c r="F19" s="268">
        <f>+C19*E19</f>
        <v>1650</v>
      </c>
      <c r="G19" s="163">
        <v>0</v>
      </c>
      <c r="H19" s="163">
        <f>+G19*C19</f>
        <v>0</v>
      </c>
      <c r="I19" s="163">
        <f>+F19+H19</f>
        <v>1650</v>
      </c>
      <c r="K19" s="329"/>
    </row>
    <row r="20" spans="1:9" ht="21.75">
      <c r="A20" s="333">
        <v>1.5</v>
      </c>
      <c r="B20" s="334" t="s">
        <v>590</v>
      </c>
      <c r="C20" s="335"/>
      <c r="D20" s="335"/>
      <c r="E20" s="335"/>
      <c r="F20" s="264"/>
      <c r="G20" s="335"/>
      <c r="H20" s="255"/>
      <c r="I20" s="255"/>
    </row>
    <row r="21" spans="1:11" ht="43.5">
      <c r="A21" s="327"/>
      <c r="B21" s="328" t="s">
        <v>696</v>
      </c>
      <c r="C21" s="156">
        <v>3</v>
      </c>
      <c r="D21" s="162" t="s">
        <v>75</v>
      </c>
      <c r="E21" s="156">
        <v>5500</v>
      </c>
      <c r="F21" s="266">
        <f>+C21*E21</f>
        <v>16500</v>
      </c>
      <c r="G21" s="156">
        <v>0</v>
      </c>
      <c r="H21" s="156">
        <f>+G21*C21</f>
        <v>0</v>
      </c>
      <c r="I21" s="156">
        <f>+F21+H21</f>
        <v>16500</v>
      </c>
      <c r="K21" s="321" t="s">
        <v>77</v>
      </c>
    </row>
    <row r="22" spans="1:9" ht="21.75">
      <c r="A22" s="327"/>
      <c r="B22" s="287" t="s">
        <v>596</v>
      </c>
      <c r="C22" s="157">
        <v>2</v>
      </c>
      <c r="D22" s="167" t="s">
        <v>75</v>
      </c>
      <c r="E22" s="157">
        <v>4500</v>
      </c>
      <c r="F22" s="267">
        <f>+C22*E22</f>
        <v>9000</v>
      </c>
      <c r="G22" s="157">
        <v>0</v>
      </c>
      <c r="H22" s="157">
        <f>+G22*C22</f>
        <v>0</v>
      </c>
      <c r="I22" s="157">
        <f>+F22+H22</f>
        <v>9000</v>
      </c>
    </row>
    <row r="23" spans="1:9" ht="21.75">
      <c r="A23" s="327"/>
      <c r="B23" s="287" t="s">
        <v>597</v>
      </c>
      <c r="C23" s="157">
        <v>2</v>
      </c>
      <c r="D23" s="167" t="s">
        <v>75</v>
      </c>
      <c r="E23" s="157">
        <v>550</v>
      </c>
      <c r="F23" s="267">
        <f>+C23*E23</f>
        <v>1100</v>
      </c>
      <c r="G23" s="157">
        <v>0</v>
      </c>
      <c r="H23" s="157">
        <f>+G23*C23</f>
        <v>0</v>
      </c>
      <c r="I23" s="157">
        <f>+F23+H23</f>
        <v>1100</v>
      </c>
    </row>
    <row r="24" spans="1:9" ht="21.75">
      <c r="A24" s="336">
        <v>1.6</v>
      </c>
      <c r="B24" s="337" t="s">
        <v>401</v>
      </c>
      <c r="C24" s="157"/>
      <c r="D24" s="167"/>
      <c r="E24" s="157"/>
      <c r="F24" s="267"/>
      <c r="G24" s="157"/>
      <c r="H24" s="157"/>
      <c r="I24" s="157"/>
    </row>
    <row r="25" spans="1:9" ht="21.75">
      <c r="A25" s="336"/>
      <c r="B25" s="338" t="s">
        <v>599</v>
      </c>
      <c r="C25" s="157">
        <v>60</v>
      </c>
      <c r="D25" s="167" t="s">
        <v>75</v>
      </c>
      <c r="E25" s="157">
        <v>220</v>
      </c>
      <c r="F25" s="267">
        <f>+C25*E25</f>
        <v>13200</v>
      </c>
      <c r="G25" s="157">
        <v>0</v>
      </c>
      <c r="H25" s="157">
        <f>+G25*C25</f>
        <v>0</v>
      </c>
      <c r="I25" s="157">
        <f>+F25+H25</f>
        <v>13200</v>
      </c>
    </row>
    <row r="26" spans="1:9" ht="21.75">
      <c r="A26" s="336">
        <v>1.7</v>
      </c>
      <c r="B26" s="337" t="s">
        <v>442</v>
      </c>
      <c r="C26" s="157">
        <v>3</v>
      </c>
      <c r="D26" s="167" t="s">
        <v>75</v>
      </c>
      <c r="E26" s="157">
        <v>28800</v>
      </c>
      <c r="F26" s="267">
        <f>+C26*E26</f>
        <v>86400</v>
      </c>
      <c r="G26" s="157">
        <v>13000</v>
      </c>
      <c r="H26" s="157">
        <f>+G26*C26</f>
        <v>39000</v>
      </c>
      <c r="I26" s="157">
        <f>+F26+H26</f>
        <v>125400</v>
      </c>
    </row>
    <row r="27" spans="1:9" ht="21.75">
      <c r="A27" s="336">
        <v>1.8</v>
      </c>
      <c r="B27" s="262" t="s">
        <v>699</v>
      </c>
      <c r="C27" s="159"/>
      <c r="D27" s="167"/>
      <c r="E27" s="160"/>
      <c r="F27" s="269"/>
      <c r="G27" s="159"/>
      <c r="H27" s="159"/>
      <c r="I27" s="159"/>
    </row>
    <row r="28" spans="1:9" ht="21.75">
      <c r="A28" s="167"/>
      <c r="B28" s="338" t="s">
        <v>697</v>
      </c>
      <c r="C28" s="339">
        <v>3</v>
      </c>
      <c r="D28" s="340" t="s">
        <v>75</v>
      </c>
      <c r="E28" s="240">
        <v>38000</v>
      </c>
      <c r="F28" s="269">
        <f>E28*C28</f>
        <v>114000</v>
      </c>
      <c r="G28" s="159">
        <v>3000</v>
      </c>
      <c r="H28" s="159">
        <f>G28*C28</f>
        <v>9000</v>
      </c>
      <c r="I28" s="159">
        <f>H28+F28</f>
        <v>123000</v>
      </c>
    </row>
    <row r="29" spans="1:11" ht="21.75">
      <c r="A29" s="167"/>
      <c r="B29" s="341" t="s">
        <v>600</v>
      </c>
      <c r="C29" s="339">
        <v>25</v>
      </c>
      <c r="D29" s="340" t="s">
        <v>75</v>
      </c>
      <c r="E29" s="342">
        <v>32000</v>
      </c>
      <c r="F29" s="269">
        <f>E29*C29</f>
        <v>800000</v>
      </c>
      <c r="G29" s="159">
        <v>3000</v>
      </c>
      <c r="H29" s="159">
        <f>G29*C29</f>
        <v>75000</v>
      </c>
      <c r="I29" s="159">
        <f>H29+F29</f>
        <v>875000</v>
      </c>
      <c r="J29" s="319"/>
      <c r="K29" s="283"/>
    </row>
    <row r="30" spans="1:10" ht="21.75">
      <c r="A30" s="167"/>
      <c r="B30" s="341" t="s">
        <v>601</v>
      </c>
      <c r="C30" s="339">
        <v>3</v>
      </c>
      <c r="D30" s="340" t="s">
        <v>75</v>
      </c>
      <c r="E30" s="342">
        <v>24000</v>
      </c>
      <c r="F30" s="269">
        <f>E30*C30</f>
        <v>72000</v>
      </c>
      <c r="G30" s="159">
        <v>3000</v>
      </c>
      <c r="H30" s="159">
        <f>G30*C30</f>
        <v>9000</v>
      </c>
      <c r="I30" s="159">
        <f>H30+F30</f>
        <v>81000</v>
      </c>
      <c r="J30" s="315"/>
    </row>
    <row r="31" spans="1:10" ht="21.75">
      <c r="A31" s="167"/>
      <c r="B31" s="343" t="s">
        <v>602</v>
      </c>
      <c r="C31" s="339">
        <v>8</v>
      </c>
      <c r="D31" s="340" t="s">
        <v>75</v>
      </c>
      <c r="E31" s="342">
        <v>21000</v>
      </c>
      <c r="F31" s="269">
        <f>E31*C31</f>
        <v>168000</v>
      </c>
      <c r="G31" s="159">
        <v>3000</v>
      </c>
      <c r="H31" s="159">
        <f>G31*C31</f>
        <v>24000</v>
      </c>
      <c r="I31" s="159">
        <f>H31+F31</f>
        <v>192000</v>
      </c>
      <c r="J31" s="315"/>
    </row>
    <row r="32" spans="1:12" ht="21.75">
      <c r="A32" s="167"/>
      <c r="B32" s="343" t="s">
        <v>698</v>
      </c>
      <c r="C32" s="339">
        <v>2</v>
      </c>
      <c r="D32" s="344" t="s">
        <v>75</v>
      </c>
      <c r="E32" s="342">
        <v>18000</v>
      </c>
      <c r="F32" s="269">
        <f>E32*C32</f>
        <v>36000</v>
      </c>
      <c r="G32" s="159">
        <v>3000</v>
      </c>
      <c r="H32" s="159">
        <f>G32*C32</f>
        <v>6000</v>
      </c>
      <c r="I32" s="159">
        <f>H32+F32</f>
        <v>42000</v>
      </c>
      <c r="K32" s="315"/>
      <c r="L32" s="345"/>
    </row>
    <row r="33" spans="1:12" ht="21.75">
      <c r="A33" s="167"/>
      <c r="B33" s="346"/>
      <c r="C33" s="347"/>
      <c r="D33" s="167"/>
      <c r="E33" s="160"/>
      <c r="F33" s="269"/>
      <c r="G33" s="159"/>
      <c r="H33" s="159"/>
      <c r="I33" s="159"/>
      <c r="K33" s="315"/>
      <c r="L33" s="345"/>
    </row>
    <row r="34" spans="1:12" ht="21.75">
      <c r="A34" s="332"/>
      <c r="B34" s="348" t="s">
        <v>249</v>
      </c>
      <c r="C34" s="219"/>
      <c r="D34" s="349"/>
      <c r="E34" s="219"/>
      <c r="F34" s="270">
        <f>SUM(F8:F32)</f>
        <v>1570050</v>
      </c>
      <c r="G34" s="219"/>
      <c r="H34" s="219">
        <f>SUM(H8:H33)</f>
        <v>162000</v>
      </c>
      <c r="I34" s="219">
        <f>SUM(I8:I32)</f>
        <v>1732050</v>
      </c>
      <c r="K34" s="315"/>
      <c r="L34" s="350"/>
    </row>
  </sheetData>
  <sheetProtection/>
  <mergeCells count="10">
    <mergeCell ref="I4:I5"/>
    <mergeCell ref="A1:I1"/>
    <mergeCell ref="A2:I2"/>
    <mergeCell ref="A3:I3"/>
    <mergeCell ref="A4:A5"/>
    <mergeCell ref="B4:B5"/>
    <mergeCell ref="C4:C5"/>
    <mergeCell ref="D4:D5"/>
    <mergeCell ref="E4:F4"/>
    <mergeCell ref="G4:H4"/>
  </mergeCells>
  <printOptions/>
  <pageMargins left="0.2755905511811024" right="0.11811023622047245" top="0.984251968503937" bottom="0.984251968503937" header="0.3937007874015748" footer="0.5118110236220472"/>
  <pageSetup horizontalDpi="600" verticalDpi="600" orientation="landscape" paperSize="9" r:id="rId2"/>
  <headerFooter alignWithMargins="0">
    <oddHeader>&amp;L&amp;"TH Sarabun New,Regular"รายละเอียดบัญชีแสดงปริมาณวัสดุ แรงงาน และประมาณราคาค่าก่อสร้าง&amp;R&amp;"TH Sarabun New,Regular"ปร.4  &amp;P / &amp;N</oddHeader>
    <oddFooter>&amp;L&amp;"TH Sarabun New,Regular"หมายเหตุ บัญชีปริมาณงานฉบับนี้ผู้เสนอราคาจะต้องตรวจสอบรายละเอียดจากแบบรูปรายการโดยละเอียดอีกครั้ง หากปรากฏภายหลังว่าบัญชีปริมาณงานกับแบบรูปรายการขัดแย้งกัน ให้ยึดตามแบบรูปรายการ หรือคำวินิจฉัยของผู้ว่าจ้าง</oddFooter>
  </headerFooter>
  <rowBreaks count="1" manualBreakCount="1">
    <brk id="19" max="8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T501"/>
  <sheetViews>
    <sheetView view="pageBreakPreview" zoomScale="95" zoomScaleSheetLayoutView="95" zoomScalePageLayoutView="77" workbookViewId="0" topLeftCell="A430">
      <selection activeCell="A212" sqref="A212:I212"/>
    </sheetView>
  </sheetViews>
  <sheetFormatPr defaultColWidth="11.421875" defaultRowHeight="21.75"/>
  <cols>
    <col min="1" max="1" width="8.421875" style="73" customWidth="1"/>
    <col min="2" max="2" width="63.8515625" style="69" customWidth="1"/>
    <col min="3" max="3" width="10.140625" style="74" customWidth="1"/>
    <col min="4" max="4" width="10.140625" style="73" customWidth="1"/>
    <col min="5" max="5" width="11.421875" style="74" customWidth="1"/>
    <col min="6" max="6" width="13.421875" style="74" customWidth="1"/>
    <col min="7" max="7" width="11.421875" style="74" customWidth="1"/>
    <col min="8" max="8" width="13.421875" style="74" customWidth="1"/>
    <col min="9" max="9" width="14.140625" style="74" customWidth="1"/>
    <col min="10" max="10" width="32.00390625" style="91" customWidth="1"/>
    <col min="11" max="11" width="20.421875" style="69" customWidth="1"/>
    <col min="12" max="16384" width="11.421875" style="69" customWidth="1"/>
  </cols>
  <sheetData>
    <row r="1" spans="1:10" ht="21.75" customHeight="1">
      <c r="A1" s="708" t="s">
        <v>18</v>
      </c>
      <c r="B1" s="709"/>
      <c r="C1" s="709"/>
      <c r="D1" s="709"/>
      <c r="E1" s="709"/>
      <c r="F1" s="709"/>
      <c r="G1" s="709"/>
      <c r="H1" s="709"/>
      <c r="I1" s="710"/>
      <c r="J1" s="329"/>
    </row>
    <row r="2" spans="1:10" ht="21.75" customHeight="1">
      <c r="A2" s="711" t="str">
        <f>(สรุป!A2)</f>
        <v>ปรับปรุงศูนย์เวชศาสตร์ฟื้นฟูและดูแลผู้สูงวัย</v>
      </c>
      <c r="B2" s="698"/>
      <c r="C2" s="698"/>
      <c r="D2" s="698"/>
      <c r="E2" s="698"/>
      <c r="F2" s="698"/>
      <c r="G2" s="698"/>
      <c r="H2" s="698"/>
      <c r="I2" s="712"/>
      <c r="J2" s="329"/>
    </row>
    <row r="3" spans="1:10" ht="21.75" customHeight="1">
      <c r="A3" s="713" t="str">
        <f>(สรุป!A3)</f>
        <v>มหาวิทยาลัยราชภัฏอุตรดิตถ์</v>
      </c>
      <c r="B3" s="714"/>
      <c r="C3" s="714"/>
      <c r="D3" s="714"/>
      <c r="E3" s="714"/>
      <c r="F3" s="714"/>
      <c r="G3" s="714"/>
      <c r="H3" s="714"/>
      <c r="I3" s="715"/>
      <c r="J3" s="329"/>
    </row>
    <row r="4" spans="1:10" ht="21.75">
      <c r="A4" s="699" t="s">
        <v>0</v>
      </c>
      <c r="B4" s="701" t="s">
        <v>1</v>
      </c>
      <c r="C4" s="695" t="s">
        <v>2</v>
      </c>
      <c r="D4" s="699" t="s">
        <v>3</v>
      </c>
      <c r="E4" s="704" t="s">
        <v>4</v>
      </c>
      <c r="F4" s="705"/>
      <c r="G4" s="706" t="s">
        <v>5</v>
      </c>
      <c r="H4" s="705"/>
      <c r="I4" s="695" t="s">
        <v>6</v>
      </c>
      <c r="J4" s="707"/>
    </row>
    <row r="5" spans="1:10" ht="21.75">
      <c r="A5" s="700"/>
      <c r="B5" s="702"/>
      <c r="C5" s="703"/>
      <c r="D5" s="700"/>
      <c r="E5" s="70" t="s">
        <v>7</v>
      </c>
      <c r="F5" s="70" t="s">
        <v>8</v>
      </c>
      <c r="G5" s="70" t="s">
        <v>7</v>
      </c>
      <c r="H5" s="70" t="s">
        <v>8</v>
      </c>
      <c r="I5" s="696"/>
      <c r="J5" s="707"/>
    </row>
    <row r="6" spans="1:10" ht="21.75" customHeight="1">
      <c r="A6" s="353">
        <v>1</v>
      </c>
      <c r="B6" s="354" t="s">
        <v>292</v>
      </c>
      <c r="C6" s="152"/>
      <c r="D6" s="153"/>
      <c r="E6" s="154"/>
      <c r="F6" s="154"/>
      <c r="G6" s="154"/>
      <c r="H6" s="154"/>
      <c r="I6" s="152"/>
      <c r="J6" s="329"/>
    </row>
    <row r="7" spans="1:10" s="72" customFormat="1" ht="21.75" customHeight="1">
      <c r="A7" s="324">
        <v>1.01</v>
      </c>
      <c r="B7" s="355" t="s">
        <v>299</v>
      </c>
      <c r="C7" s="356"/>
      <c r="D7" s="356"/>
      <c r="E7" s="356"/>
      <c r="F7" s="356"/>
      <c r="G7" s="356"/>
      <c r="H7" s="356"/>
      <c r="I7" s="356"/>
      <c r="J7" s="357"/>
    </row>
    <row r="8" spans="1:10" s="72" customFormat="1" ht="21.75" customHeight="1">
      <c r="A8" s="336"/>
      <c r="B8" s="358" t="s">
        <v>288</v>
      </c>
      <c r="C8" s="356"/>
      <c r="D8" s="356"/>
      <c r="E8" s="356"/>
      <c r="F8" s="356"/>
      <c r="G8" s="356"/>
      <c r="H8" s="356"/>
      <c r="I8" s="356"/>
      <c r="J8" s="357"/>
    </row>
    <row r="9" spans="1:10" s="72" customFormat="1" ht="21.75" customHeight="1">
      <c r="A9" s="327"/>
      <c r="B9" s="251" t="s">
        <v>406</v>
      </c>
      <c r="C9" s="161">
        <v>2</v>
      </c>
      <c r="D9" s="359" t="s">
        <v>75</v>
      </c>
      <c r="E9" s="161">
        <v>0</v>
      </c>
      <c r="F9" s="161">
        <f>+C9*E9</f>
        <v>0</v>
      </c>
      <c r="G9" s="161">
        <v>400</v>
      </c>
      <c r="H9" s="161">
        <f>+G9*C9</f>
        <v>800</v>
      </c>
      <c r="I9" s="161">
        <f>+F9+H9</f>
        <v>800</v>
      </c>
      <c r="J9" s="357"/>
    </row>
    <row r="10" spans="1:10" s="72" customFormat="1" ht="21.75" customHeight="1">
      <c r="A10" s="327"/>
      <c r="B10" s="251" t="s">
        <v>407</v>
      </c>
      <c r="C10" s="157">
        <v>2</v>
      </c>
      <c r="D10" s="167" t="s">
        <v>75</v>
      </c>
      <c r="E10" s="157">
        <v>0</v>
      </c>
      <c r="F10" s="157">
        <f>+C10*E10</f>
        <v>0</v>
      </c>
      <c r="G10" s="157">
        <v>200</v>
      </c>
      <c r="H10" s="157">
        <f>+G10*C10</f>
        <v>400</v>
      </c>
      <c r="I10" s="157">
        <f>+F10+H10</f>
        <v>400</v>
      </c>
      <c r="J10" s="357"/>
    </row>
    <row r="11" spans="1:10" s="72" customFormat="1" ht="21.75" customHeight="1">
      <c r="A11" s="327"/>
      <c r="B11" s="251" t="s">
        <v>408</v>
      </c>
      <c r="C11" s="157">
        <v>1</v>
      </c>
      <c r="D11" s="167" t="s">
        <v>75</v>
      </c>
      <c r="E11" s="157">
        <v>0</v>
      </c>
      <c r="F11" s="157">
        <f>+C11*E11</f>
        <v>0</v>
      </c>
      <c r="G11" s="157">
        <v>300</v>
      </c>
      <c r="H11" s="157">
        <f>+G11*C11</f>
        <v>300</v>
      </c>
      <c r="I11" s="157">
        <f>+F11+H11</f>
        <v>300</v>
      </c>
      <c r="J11" s="357"/>
    </row>
    <row r="12" spans="1:10" s="72" customFormat="1" ht="21.75" customHeight="1">
      <c r="A12" s="327"/>
      <c r="B12" s="251" t="s">
        <v>409</v>
      </c>
      <c r="C12" s="157">
        <v>46.8</v>
      </c>
      <c r="D12" s="167" t="s">
        <v>93</v>
      </c>
      <c r="E12" s="157">
        <v>0</v>
      </c>
      <c r="F12" s="157">
        <f>+C12*E12</f>
        <v>0</v>
      </c>
      <c r="G12" s="157">
        <v>40</v>
      </c>
      <c r="H12" s="157">
        <f>+G12*C12</f>
        <v>1872</v>
      </c>
      <c r="I12" s="157">
        <f>+F12+H12</f>
        <v>1872</v>
      </c>
      <c r="J12" s="357"/>
    </row>
    <row r="13" spans="1:10" s="72" customFormat="1" ht="21.75" customHeight="1">
      <c r="A13" s="327"/>
      <c r="B13" s="251" t="s">
        <v>410</v>
      </c>
      <c r="C13" s="157">
        <v>57.92</v>
      </c>
      <c r="D13" s="167" t="s">
        <v>93</v>
      </c>
      <c r="E13" s="157">
        <v>0</v>
      </c>
      <c r="F13" s="157">
        <f>+C13*E13</f>
        <v>0</v>
      </c>
      <c r="G13" s="157">
        <v>25</v>
      </c>
      <c r="H13" s="157">
        <f>+G13*C13</f>
        <v>1448</v>
      </c>
      <c r="I13" s="157">
        <f>+F13+H13</f>
        <v>1448</v>
      </c>
      <c r="J13" s="360"/>
    </row>
    <row r="14" spans="1:10" s="72" customFormat="1" ht="21.75" customHeight="1">
      <c r="A14" s="327"/>
      <c r="B14" s="358" t="s">
        <v>287</v>
      </c>
      <c r="C14" s="157"/>
      <c r="D14" s="167"/>
      <c r="E14" s="157"/>
      <c r="F14" s="157"/>
      <c r="G14" s="157"/>
      <c r="H14" s="157"/>
      <c r="I14" s="157"/>
      <c r="J14" s="357"/>
    </row>
    <row r="15" spans="1:10" s="72" customFormat="1" ht="21.75">
      <c r="A15" s="167"/>
      <c r="B15" s="358" t="s">
        <v>411</v>
      </c>
      <c r="C15" s="157"/>
      <c r="D15" s="167"/>
      <c r="E15" s="157"/>
      <c r="F15" s="157"/>
      <c r="G15" s="157"/>
      <c r="H15" s="157"/>
      <c r="I15" s="157"/>
      <c r="J15" s="357"/>
    </row>
    <row r="16" spans="1:10" s="72" customFormat="1" ht="42.75" customHeight="1">
      <c r="A16" s="167"/>
      <c r="B16" s="361" t="s">
        <v>618</v>
      </c>
      <c r="C16" s="156">
        <v>83.4</v>
      </c>
      <c r="D16" s="162" t="s">
        <v>93</v>
      </c>
      <c r="E16" s="156">
        <v>850</v>
      </c>
      <c r="F16" s="156">
        <f aca="true" t="shared" si="0" ref="F16:F21">+C16*E16</f>
        <v>70890</v>
      </c>
      <c r="G16" s="156">
        <v>350</v>
      </c>
      <c r="H16" s="156">
        <f aca="true" t="shared" si="1" ref="H16:H21">+G16*C16</f>
        <v>29190.000000000004</v>
      </c>
      <c r="I16" s="156">
        <f aca="true" t="shared" si="2" ref="I16:I21">+F16+H16</f>
        <v>100080</v>
      </c>
      <c r="J16" s="357"/>
    </row>
    <row r="17" spans="1:10" s="72" customFormat="1" ht="39.75" customHeight="1">
      <c r="A17" s="167"/>
      <c r="B17" s="361" t="s">
        <v>412</v>
      </c>
      <c r="C17" s="156">
        <v>46.8</v>
      </c>
      <c r="D17" s="162" t="s">
        <v>93</v>
      </c>
      <c r="E17" s="156">
        <v>273</v>
      </c>
      <c r="F17" s="156">
        <f t="shared" si="0"/>
        <v>12776.4</v>
      </c>
      <c r="G17" s="156">
        <v>56</v>
      </c>
      <c r="H17" s="156">
        <f t="shared" si="1"/>
        <v>2620.7999999999997</v>
      </c>
      <c r="I17" s="156">
        <f t="shared" si="2"/>
        <v>15397.199999999999</v>
      </c>
      <c r="J17" s="357"/>
    </row>
    <row r="18" spans="1:11" s="71" customFormat="1" ht="21.75" customHeight="1">
      <c r="A18" s="167"/>
      <c r="B18" s="251" t="s">
        <v>310</v>
      </c>
      <c r="C18" s="157">
        <v>159.1</v>
      </c>
      <c r="D18" s="167" t="s">
        <v>93</v>
      </c>
      <c r="E18" s="157">
        <v>75</v>
      </c>
      <c r="F18" s="157">
        <f t="shared" si="0"/>
        <v>11932.5</v>
      </c>
      <c r="G18" s="157">
        <v>87</v>
      </c>
      <c r="H18" s="157">
        <f t="shared" si="1"/>
        <v>13841.699999999999</v>
      </c>
      <c r="I18" s="157">
        <f t="shared" si="2"/>
        <v>25774.199999999997</v>
      </c>
      <c r="J18" s="362"/>
      <c r="K18" s="72"/>
    </row>
    <row r="19" spans="1:10" s="72" customFormat="1" ht="21.75">
      <c r="A19" s="167"/>
      <c r="B19" s="251" t="s">
        <v>413</v>
      </c>
      <c r="C19" s="157">
        <v>68.4</v>
      </c>
      <c r="D19" s="167" t="s">
        <v>93</v>
      </c>
      <c r="E19" s="157">
        <v>4500</v>
      </c>
      <c r="F19" s="157">
        <f t="shared" si="0"/>
        <v>307800</v>
      </c>
      <c r="G19" s="157">
        <v>1125</v>
      </c>
      <c r="H19" s="157">
        <f t="shared" si="1"/>
        <v>76950</v>
      </c>
      <c r="I19" s="157">
        <f t="shared" si="2"/>
        <v>384750</v>
      </c>
      <c r="J19" s="357"/>
    </row>
    <row r="20" spans="1:10" s="72" customFormat="1" ht="21.75">
      <c r="A20" s="167"/>
      <c r="B20" s="251" t="s">
        <v>414</v>
      </c>
      <c r="C20" s="157">
        <v>40.2</v>
      </c>
      <c r="D20" s="167" t="s">
        <v>181</v>
      </c>
      <c r="E20" s="157">
        <v>125</v>
      </c>
      <c r="F20" s="157">
        <f t="shared" si="0"/>
        <v>5025</v>
      </c>
      <c r="G20" s="157">
        <v>80</v>
      </c>
      <c r="H20" s="157">
        <f t="shared" si="1"/>
        <v>3216</v>
      </c>
      <c r="I20" s="157">
        <f t="shared" si="2"/>
        <v>8241</v>
      </c>
      <c r="J20" s="357"/>
    </row>
    <row r="21" spans="1:10" s="300" customFormat="1" ht="21.75">
      <c r="A21" s="332"/>
      <c r="B21" s="259" t="s">
        <v>566</v>
      </c>
      <c r="C21" s="163">
        <v>34</v>
      </c>
      <c r="D21" s="332" t="s">
        <v>181</v>
      </c>
      <c r="E21" s="163">
        <v>35</v>
      </c>
      <c r="F21" s="163">
        <f t="shared" si="0"/>
        <v>1190</v>
      </c>
      <c r="G21" s="163">
        <v>25</v>
      </c>
      <c r="H21" s="163">
        <f t="shared" si="1"/>
        <v>850</v>
      </c>
      <c r="I21" s="163">
        <f t="shared" si="2"/>
        <v>2040</v>
      </c>
      <c r="J21" s="360"/>
    </row>
    <row r="22" spans="1:10" s="72" customFormat="1" ht="21.75">
      <c r="A22" s="363"/>
      <c r="B22" s="354" t="s">
        <v>260</v>
      </c>
      <c r="C22" s="239"/>
      <c r="D22" s="363"/>
      <c r="E22" s="239"/>
      <c r="F22" s="239"/>
      <c r="G22" s="239"/>
      <c r="H22" s="239"/>
      <c r="I22" s="239"/>
      <c r="J22" s="357"/>
    </row>
    <row r="23" spans="1:10" s="72" customFormat="1" ht="41.25" customHeight="1">
      <c r="A23" s="167"/>
      <c r="B23" s="361" t="s">
        <v>417</v>
      </c>
      <c r="C23" s="156">
        <v>57.92</v>
      </c>
      <c r="D23" s="162" t="s">
        <v>93</v>
      </c>
      <c r="E23" s="156">
        <v>280</v>
      </c>
      <c r="F23" s="156">
        <f>+C23*E23</f>
        <v>16217.6</v>
      </c>
      <c r="G23" s="156">
        <v>75</v>
      </c>
      <c r="H23" s="156">
        <f>+G23*C23</f>
        <v>4344</v>
      </c>
      <c r="I23" s="156">
        <f>+F23+H23</f>
        <v>20561.6</v>
      </c>
      <c r="J23" s="357"/>
    </row>
    <row r="24" spans="1:10" s="72" customFormat="1" ht="21.75">
      <c r="A24" s="167"/>
      <c r="B24" s="358" t="s">
        <v>261</v>
      </c>
      <c r="C24" s="157"/>
      <c r="D24" s="167"/>
      <c r="E24" s="157"/>
      <c r="F24" s="157"/>
      <c r="G24" s="157"/>
      <c r="H24" s="157"/>
      <c r="I24" s="157"/>
      <c r="J24" s="357"/>
    </row>
    <row r="25" spans="1:10" s="72" customFormat="1" ht="21.75">
      <c r="A25" s="167"/>
      <c r="B25" s="251" t="s">
        <v>415</v>
      </c>
      <c r="C25" s="157">
        <v>1</v>
      </c>
      <c r="D25" s="167" t="s">
        <v>75</v>
      </c>
      <c r="E25" s="157">
        <v>9500</v>
      </c>
      <c r="F25" s="157">
        <f>+C25*E25</f>
        <v>9500</v>
      </c>
      <c r="G25" s="157">
        <v>1450</v>
      </c>
      <c r="H25" s="157">
        <f>+G25*C25</f>
        <v>1450</v>
      </c>
      <c r="I25" s="157">
        <f>+F25+H25</f>
        <v>10950</v>
      </c>
      <c r="J25" s="357"/>
    </row>
    <row r="26" spans="1:10" s="72" customFormat="1" ht="21.75">
      <c r="A26" s="167"/>
      <c r="B26" s="251" t="s">
        <v>418</v>
      </c>
      <c r="C26" s="157">
        <v>1</v>
      </c>
      <c r="D26" s="167" t="s">
        <v>75</v>
      </c>
      <c r="E26" s="157">
        <v>9500</v>
      </c>
      <c r="F26" s="157">
        <f>+C26*E26</f>
        <v>9500</v>
      </c>
      <c r="G26" s="157">
        <v>1450</v>
      </c>
      <c r="H26" s="157">
        <f>+G26*C26</f>
        <v>1450</v>
      </c>
      <c r="I26" s="157">
        <f>+F26+H26</f>
        <v>10950</v>
      </c>
      <c r="J26" s="357"/>
    </row>
    <row r="27" spans="1:10" s="72" customFormat="1" ht="21.75">
      <c r="A27" s="167"/>
      <c r="B27" s="251" t="s">
        <v>311</v>
      </c>
      <c r="C27" s="157">
        <v>1</v>
      </c>
      <c r="D27" s="167" t="s">
        <v>75</v>
      </c>
      <c r="E27" s="157">
        <v>7500</v>
      </c>
      <c r="F27" s="157">
        <f>+C27*E27</f>
        <v>7500</v>
      </c>
      <c r="G27" s="157">
        <v>1100</v>
      </c>
      <c r="H27" s="157">
        <f>+G27*C27</f>
        <v>1100</v>
      </c>
      <c r="I27" s="157">
        <f>+F27+H27</f>
        <v>8600</v>
      </c>
      <c r="J27" s="357"/>
    </row>
    <row r="28" spans="1:10" s="72" customFormat="1" ht="21.75">
      <c r="A28" s="167"/>
      <c r="B28" s="251" t="s">
        <v>416</v>
      </c>
      <c r="C28" s="157">
        <v>1</v>
      </c>
      <c r="D28" s="167" t="s">
        <v>75</v>
      </c>
      <c r="E28" s="157">
        <v>25000</v>
      </c>
      <c r="F28" s="157">
        <f>+C28*E28</f>
        <v>25000</v>
      </c>
      <c r="G28" s="157">
        <v>300</v>
      </c>
      <c r="H28" s="157">
        <f>+G28*C28</f>
        <v>300</v>
      </c>
      <c r="I28" s="157">
        <f>+F28+H28</f>
        <v>25300</v>
      </c>
      <c r="J28" s="357"/>
    </row>
    <row r="29" spans="1:10" s="72" customFormat="1" ht="21.75">
      <c r="A29" s="167"/>
      <c r="B29" s="251" t="s">
        <v>512</v>
      </c>
      <c r="C29" s="157">
        <v>1</v>
      </c>
      <c r="D29" s="167" t="s">
        <v>75</v>
      </c>
      <c r="E29" s="157">
        <v>250</v>
      </c>
      <c r="F29" s="157">
        <f>+C29*E29</f>
        <v>250</v>
      </c>
      <c r="G29" s="157">
        <v>150</v>
      </c>
      <c r="H29" s="157">
        <f>+G29*C29</f>
        <v>150</v>
      </c>
      <c r="I29" s="157">
        <f>+F29+H29</f>
        <v>400</v>
      </c>
      <c r="J29" s="357"/>
    </row>
    <row r="30" spans="1:10" s="72" customFormat="1" ht="21.75">
      <c r="A30" s="167"/>
      <c r="B30" s="358" t="s">
        <v>264</v>
      </c>
      <c r="C30" s="157"/>
      <c r="D30" s="167"/>
      <c r="E30" s="157"/>
      <c r="F30" s="157"/>
      <c r="G30" s="157"/>
      <c r="H30" s="157"/>
      <c r="I30" s="157"/>
      <c r="J30" s="357"/>
    </row>
    <row r="31" spans="1:10" s="289" customFormat="1" ht="21.75">
      <c r="A31" s="167"/>
      <c r="B31" s="365" t="s">
        <v>561</v>
      </c>
      <c r="C31" s="157">
        <v>140.47</v>
      </c>
      <c r="D31" s="167" t="s">
        <v>93</v>
      </c>
      <c r="E31" s="157">
        <v>80</v>
      </c>
      <c r="F31" s="157">
        <f>+C31*E31</f>
        <v>11237.6</v>
      </c>
      <c r="G31" s="157">
        <v>30</v>
      </c>
      <c r="H31" s="157">
        <f>+G31*C31</f>
        <v>4214.1</v>
      </c>
      <c r="I31" s="157">
        <f>+F31+H31</f>
        <v>15451.7</v>
      </c>
      <c r="J31" s="357"/>
    </row>
    <row r="32" spans="1:11" s="290" customFormat="1" ht="21.75">
      <c r="A32" s="167"/>
      <c r="B32" s="365" t="s">
        <v>511</v>
      </c>
      <c r="C32" s="157">
        <v>68.4</v>
      </c>
      <c r="D32" s="167" t="s">
        <v>93</v>
      </c>
      <c r="E32" s="157">
        <v>45</v>
      </c>
      <c r="F32" s="157">
        <f>+C32*E32</f>
        <v>3078.0000000000005</v>
      </c>
      <c r="G32" s="157">
        <v>30</v>
      </c>
      <c r="H32" s="157">
        <f>+G32*C32</f>
        <v>2052</v>
      </c>
      <c r="I32" s="157">
        <f>+F32+H32</f>
        <v>5130</v>
      </c>
      <c r="J32" s="362"/>
      <c r="K32" s="289"/>
    </row>
    <row r="33" spans="1:10" s="72" customFormat="1" ht="21.75">
      <c r="A33" s="349"/>
      <c r="B33" s="596" t="s">
        <v>257</v>
      </c>
      <c r="C33" s="369"/>
      <c r="D33" s="369"/>
      <c r="E33" s="369"/>
      <c r="F33" s="180">
        <f>SUM(F9:F32)</f>
        <v>491897.1</v>
      </c>
      <c r="G33" s="369"/>
      <c r="H33" s="180">
        <f>SUM(H9:H32)</f>
        <v>146548.6</v>
      </c>
      <c r="I33" s="180">
        <f>SUM(I9:I32)</f>
        <v>638445.7</v>
      </c>
      <c r="J33" s="357"/>
    </row>
    <row r="34" spans="1:10" s="72" customFormat="1" ht="43.5" customHeight="1">
      <c r="A34" s="379">
        <v>1.02</v>
      </c>
      <c r="B34" s="380" t="s">
        <v>387</v>
      </c>
      <c r="C34" s="335"/>
      <c r="D34" s="335"/>
      <c r="E34" s="335"/>
      <c r="F34" s="255"/>
      <c r="G34" s="335"/>
      <c r="H34" s="255"/>
      <c r="I34" s="255"/>
      <c r="J34" s="357"/>
    </row>
    <row r="35" spans="1:10" s="72" customFormat="1" ht="21.75">
      <c r="A35" s="336"/>
      <c r="B35" s="358" t="s">
        <v>288</v>
      </c>
      <c r="C35" s="231"/>
      <c r="D35" s="231"/>
      <c r="E35" s="231"/>
      <c r="F35" s="155"/>
      <c r="G35" s="231"/>
      <c r="H35" s="155"/>
      <c r="I35" s="155"/>
      <c r="J35" s="357"/>
    </row>
    <row r="36" spans="1:11" s="71" customFormat="1" ht="21.75">
      <c r="A36" s="327"/>
      <c r="B36" s="251" t="s">
        <v>384</v>
      </c>
      <c r="C36" s="157">
        <v>2</v>
      </c>
      <c r="D36" s="167" t="s">
        <v>75</v>
      </c>
      <c r="E36" s="157">
        <v>0</v>
      </c>
      <c r="F36" s="157">
        <f>+C36*E36</f>
        <v>0</v>
      </c>
      <c r="G36" s="157">
        <v>400</v>
      </c>
      <c r="H36" s="157">
        <f>+G36*C36</f>
        <v>800</v>
      </c>
      <c r="I36" s="157">
        <f>+F36+H36</f>
        <v>800</v>
      </c>
      <c r="J36" s="362"/>
      <c r="K36" s="72"/>
    </row>
    <row r="37" spans="1:10" s="72" customFormat="1" ht="21.75">
      <c r="A37" s="327"/>
      <c r="B37" s="251" t="s">
        <v>294</v>
      </c>
      <c r="C37" s="157">
        <v>3</v>
      </c>
      <c r="D37" s="167" t="s">
        <v>75</v>
      </c>
      <c r="E37" s="157">
        <v>0</v>
      </c>
      <c r="F37" s="157">
        <f>+C37*E37</f>
        <v>0</v>
      </c>
      <c r="G37" s="157">
        <v>300</v>
      </c>
      <c r="H37" s="157">
        <f>+G37*C37</f>
        <v>900</v>
      </c>
      <c r="I37" s="157">
        <f>+F37+H37</f>
        <v>900</v>
      </c>
      <c r="J37" s="357"/>
    </row>
    <row r="38" spans="1:10" s="72" customFormat="1" ht="21.75">
      <c r="A38" s="327"/>
      <c r="B38" s="251" t="s">
        <v>295</v>
      </c>
      <c r="C38" s="157">
        <v>32</v>
      </c>
      <c r="D38" s="167" t="s">
        <v>93</v>
      </c>
      <c r="E38" s="157">
        <v>0</v>
      </c>
      <c r="F38" s="157">
        <f>+C38*E38</f>
        <v>0</v>
      </c>
      <c r="G38" s="157">
        <v>40</v>
      </c>
      <c r="H38" s="157">
        <f>+G38*C38</f>
        <v>1280</v>
      </c>
      <c r="I38" s="157">
        <f>+F38+H38</f>
        <v>1280</v>
      </c>
      <c r="J38" s="357"/>
    </row>
    <row r="39" spans="1:10" s="72" customFormat="1" ht="21.75">
      <c r="A39" s="327"/>
      <c r="B39" s="251" t="s">
        <v>296</v>
      </c>
      <c r="C39" s="157">
        <v>128</v>
      </c>
      <c r="D39" s="167" t="s">
        <v>93</v>
      </c>
      <c r="E39" s="157">
        <v>0</v>
      </c>
      <c r="F39" s="157">
        <f>+C39*E39</f>
        <v>0</v>
      </c>
      <c r="G39" s="157">
        <v>25</v>
      </c>
      <c r="H39" s="157">
        <f>+G39*C39</f>
        <v>3200</v>
      </c>
      <c r="I39" s="157">
        <f>+F39+H39</f>
        <v>3200</v>
      </c>
      <c r="J39" s="357"/>
    </row>
    <row r="40" spans="1:10" s="72" customFormat="1" ht="21.75">
      <c r="A40" s="336"/>
      <c r="B40" s="358" t="s">
        <v>287</v>
      </c>
      <c r="C40" s="157"/>
      <c r="D40" s="167"/>
      <c r="E40" s="157"/>
      <c r="F40" s="157"/>
      <c r="G40" s="157"/>
      <c r="H40" s="157"/>
      <c r="I40" s="157"/>
      <c r="J40" s="357"/>
    </row>
    <row r="41" spans="1:10" s="72" customFormat="1" ht="21.75">
      <c r="A41" s="167"/>
      <c r="B41" s="358" t="s">
        <v>258</v>
      </c>
      <c r="C41" s="157"/>
      <c r="D41" s="167"/>
      <c r="E41" s="157"/>
      <c r="F41" s="157"/>
      <c r="G41" s="157"/>
      <c r="H41" s="157"/>
      <c r="I41" s="157"/>
      <c r="J41" s="357"/>
    </row>
    <row r="42" spans="1:10" s="72" customFormat="1" ht="42" customHeight="1">
      <c r="A42" s="167"/>
      <c r="B42" s="361" t="s">
        <v>618</v>
      </c>
      <c r="C42" s="156">
        <v>29.98</v>
      </c>
      <c r="D42" s="162" t="s">
        <v>93</v>
      </c>
      <c r="E42" s="156">
        <v>850</v>
      </c>
      <c r="F42" s="156">
        <f aca="true" t="shared" si="3" ref="F42:F47">+C42*E42</f>
        <v>25483</v>
      </c>
      <c r="G42" s="156">
        <v>350</v>
      </c>
      <c r="H42" s="156">
        <f aca="true" t="shared" si="4" ref="H42:H47">+G42*C42</f>
        <v>10493</v>
      </c>
      <c r="I42" s="156">
        <f aca="true" t="shared" si="5" ref="I42:I47">+F42+H42</f>
        <v>35976</v>
      </c>
      <c r="J42" s="357"/>
    </row>
    <row r="43" spans="1:10" s="72" customFormat="1" ht="42" customHeight="1">
      <c r="A43" s="167"/>
      <c r="B43" s="361" t="s">
        <v>337</v>
      </c>
      <c r="C43" s="156">
        <v>178.32</v>
      </c>
      <c r="D43" s="162" t="s">
        <v>93</v>
      </c>
      <c r="E43" s="156">
        <v>273</v>
      </c>
      <c r="F43" s="156">
        <f t="shared" si="3"/>
        <v>48681.36</v>
      </c>
      <c r="G43" s="156">
        <v>56</v>
      </c>
      <c r="H43" s="156">
        <f t="shared" si="4"/>
        <v>9985.92</v>
      </c>
      <c r="I43" s="156">
        <f t="shared" si="5"/>
        <v>58667.28</v>
      </c>
      <c r="J43" s="357"/>
    </row>
    <row r="44" spans="1:10" s="72" customFormat="1" ht="21.75" customHeight="1">
      <c r="A44" s="167"/>
      <c r="B44" s="251" t="s">
        <v>421</v>
      </c>
      <c r="C44" s="156">
        <v>72.9</v>
      </c>
      <c r="D44" s="162" t="s">
        <v>93</v>
      </c>
      <c r="E44" s="156">
        <v>125</v>
      </c>
      <c r="F44" s="156">
        <f t="shared" si="3"/>
        <v>9112.5</v>
      </c>
      <c r="G44" s="156">
        <v>80</v>
      </c>
      <c r="H44" s="156">
        <f t="shared" si="4"/>
        <v>5832</v>
      </c>
      <c r="I44" s="156">
        <f t="shared" si="5"/>
        <v>14944.5</v>
      </c>
      <c r="J44" s="357"/>
    </row>
    <row r="45" spans="1:10" s="72" customFormat="1" ht="21.75" customHeight="1">
      <c r="A45" s="167"/>
      <c r="B45" s="251" t="s">
        <v>422</v>
      </c>
      <c r="C45" s="156">
        <v>91.61</v>
      </c>
      <c r="D45" s="162" t="s">
        <v>93</v>
      </c>
      <c r="E45" s="156">
        <v>70</v>
      </c>
      <c r="F45" s="156">
        <f t="shared" si="3"/>
        <v>6412.7</v>
      </c>
      <c r="G45" s="156">
        <v>40</v>
      </c>
      <c r="H45" s="156">
        <f t="shared" si="4"/>
        <v>3664.4</v>
      </c>
      <c r="I45" s="156">
        <f t="shared" si="5"/>
        <v>10077.1</v>
      </c>
      <c r="J45" s="357"/>
    </row>
    <row r="46" spans="1:11" s="71" customFormat="1" ht="21.75" customHeight="1">
      <c r="A46" s="167"/>
      <c r="B46" s="251" t="s">
        <v>334</v>
      </c>
      <c r="C46" s="157">
        <v>416.6</v>
      </c>
      <c r="D46" s="167" t="s">
        <v>93</v>
      </c>
      <c r="E46" s="157">
        <v>75</v>
      </c>
      <c r="F46" s="157">
        <f t="shared" si="3"/>
        <v>31245</v>
      </c>
      <c r="G46" s="157">
        <v>87</v>
      </c>
      <c r="H46" s="157">
        <f t="shared" si="4"/>
        <v>36244.200000000004</v>
      </c>
      <c r="I46" s="157">
        <f t="shared" si="5"/>
        <v>67489.20000000001</v>
      </c>
      <c r="J46" s="362"/>
      <c r="K46" s="72"/>
    </row>
    <row r="47" spans="1:10" s="72" customFormat="1" ht="21.75" customHeight="1">
      <c r="A47" s="332"/>
      <c r="B47" s="259" t="s">
        <v>338</v>
      </c>
      <c r="C47" s="163">
        <v>36</v>
      </c>
      <c r="D47" s="332" t="s">
        <v>93</v>
      </c>
      <c r="E47" s="163">
        <v>3500</v>
      </c>
      <c r="F47" s="163">
        <f t="shared" si="3"/>
        <v>126000</v>
      </c>
      <c r="G47" s="163">
        <v>1500</v>
      </c>
      <c r="H47" s="163">
        <f t="shared" si="4"/>
        <v>54000</v>
      </c>
      <c r="I47" s="163">
        <f t="shared" si="5"/>
        <v>180000</v>
      </c>
      <c r="J47" s="357"/>
    </row>
    <row r="48" spans="1:10" s="300" customFormat="1" ht="21.75" customHeight="1">
      <c r="A48" s="363"/>
      <c r="B48" s="364" t="s">
        <v>567</v>
      </c>
      <c r="C48" s="239">
        <v>104.75</v>
      </c>
      <c r="D48" s="363" t="s">
        <v>181</v>
      </c>
      <c r="E48" s="239">
        <v>30</v>
      </c>
      <c r="F48" s="239">
        <f>+C48*E48</f>
        <v>3142.5</v>
      </c>
      <c r="G48" s="239">
        <v>25</v>
      </c>
      <c r="H48" s="239">
        <f>+G48*C48</f>
        <v>2618.75</v>
      </c>
      <c r="I48" s="239">
        <f>+F48+H48</f>
        <v>5761.25</v>
      </c>
      <c r="J48" s="357"/>
    </row>
    <row r="49" spans="1:10" s="72" customFormat="1" ht="21.75" customHeight="1">
      <c r="A49" s="167"/>
      <c r="B49" s="358" t="s">
        <v>260</v>
      </c>
      <c r="C49" s="157"/>
      <c r="D49" s="167"/>
      <c r="E49" s="157"/>
      <c r="F49" s="157"/>
      <c r="G49" s="157"/>
      <c r="H49" s="157"/>
      <c r="I49" s="157"/>
      <c r="J49" s="357"/>
    </row>
    <row r="50" spans="1:10" s="72" customFormat="1" ht="42" customHeight="1">
      <c r="A50" s="167"/>
      <c r="B50" s="361" t="s">
        <v>419</v>
      </c>
      <c r="C50" s="156">
        <v>128</v>
      </c>
      <c r="D50" s="162" t="s">
        <v>93</v>
      </c>
      <c r="E50" s="156">
        <v>280</v>
      </c>
      <c r="F50" s="156">
        <f>+C50*E50</f>
        <v>35840</v>
      </c>
      <c r="G50" s="156">
        <v>75</v>
      </c>
      <c r="H50" s="156">
        <f>+G50*C50</f>
        <v>9600</v>
      </c>
      <c r="I50" s="156">
        <f>+F50+H50</f>
        <v>45440</v>
      </c>
      <c r="J50" s="357"/>
    </row>
    <row r="51" spans="1:10" s="72" customFormat="1" ht="21.75" customHeight="1">
      <c r="A51" s="167"/>
      <c r="B51" s="358" t="s">
        <v>261</v>
      </c>
      <c r="C51" s="157"/>
      <c r="D51" s="167"/>
      <c r="E51" s="157"/>
      <c r="F51" s="157"/>
      <c r="G51" s="157"/>
      <c r="H51" s="157"/>
      <c r="I51" s="157"/>
      <c r="J51" s="357"/>
    </row>
    <row r="52" spans="1:10" s="72" customFormat="1" ht="21.75" customHeight="1">
      <c r="A52" s="167"/>
      <c r="B52" s="251" t="s">
        <v>336</v>
      </c>
      <c r="C52" s="157">
        <v>4</v>
      </c>
      <c r="D52" s="167" t="s">
        <v>75</v>
      </c>
      <c r="E52" s="157">
        <v>7900</v>
      </c>
      <c r="F52" s="157">
        <f>+C52*E52</f>
        <v>31600</v>
      </c>
      <c r="G52" s="157">
        <v>1200</v>
      </c>
      <c r="H52" s="157">
        <f>+G52*C52</f>
        <v>4800</v>
      </c>
      <c r="I52" s="157">
        <f>+F52+H52</f>
        <v>36400</v>
      </c>
      <c r="J52" s="357"/>
    </row>
    <row r="53" spans="1:10" s="72" customFormat="1" ht="43.5" customHeight="1">
      <c r="A53" s="167"/>
      <c r="B53" s="365" t="s">
        <v>420</v>
      </c>
      <c r="C53" s="156">
        <v>2</v>
      </c>
      <c r="D53" s="162" t="s">
        <v>75</v>
      </c>
      <c r="E53" s="156">
        <v>25000</v>
      </c>
      <c r="F53" s="156">
        <f>+C53*E53</f>
        <v>50000</v>
      </c>
      <c r="G53" s="156">
        <v>1500</v>
      </c>
      <c r="H53" s="156">
        <f>+G53*C53</f>
        <v>3000</v>
      </c>
      <c r="I53" s="156">
        <f>+F53+H53</f>
        <v>53000</v>
      </c>
      <c r="J53" s="357"/>
    </row>
    <row r="54" spans="1:10" s="72" customFormat="1" ht="21.75" customHeight="1">
      <c r="A54" s="167"/>
      <c r="B54" s="251" t="s">
        <v>335</v>
      </c>
      <c r="C54" s="157">
        <v>1</v>
      </c>
      <c r="D54" s="167" t="s">
        <v>75</v>
      </c>
      <c r="E54" s="157">
        <v>25000</v>
      </c>
      <c r="F54" s="157">
        <f>+C54*E54</f>
        <v>25000</v>
      </c>
      <c r="G54" s="157">
        <v>300</v>
      </c>
      <c r="H54" s="157">
        <f>+G54*C54</f>
        <v>300</v>
      </c>
      <c r="I54" s="157">
        <f>+F54+H54</f>
        <v>25300</v>
      </c>
      <c r="J54" s="357"/>
    </row>
    <row r="55" spans="1:11" s="71" customFormat="1" ht="21.75" customHeight="1">
      <c r="A55" s="167"/>
      <c r="B55" s="358" t="s">
        <v>266</v>
      </c>
      <c r="C55" s="157"/>
      <c r="D55" s="167"/>
      <c r="E55" s="157"/>
      <c r="F55" s="157"/>
      <c r="G55" s="157"/>
      <c r="H55" s="157"/>
      <c r="I55" s="157"/>
      <c r="J55" s="362"/>
      <c r="K55" s="72"/>
    </row>
    <row r="56" spans="1:10" s="289" customFormat="1" ht="21.75" customHeight="1">
      <c r="A56" s="167"/>
      <c r="B56" s="365" t="s">
        <v>562</v>
      </c>
      <c r="C56" s="157">
        <v>142</v>
      </c>
      <c r="D56" s="167" t="s">
        <v>93</v>
      </c>
      <c r="E56" s="157">
        <v>80</v>
      </c>
      <c r="F56" s="157">
        <f>+C56*E56</f>
        <v>11360</v>
      </c>
      <c r="G56" s="157">
        <v>30</v>
      </c>
      <c r="H56" s="157">
        <f>+G56*C56</f>
        <v>4260</v>
      </c>
      <c r="I56" s="157">
        <f>+F56+H56</f>
        <v>15620</v>
      </c>
      <c r="J56" s="357"/>
    </row>
    <row r="57" spans="1:10" s="289" customFormat="1" ht="21.75" customHeight="1">
      <c r="A57" s="167"/>
      <c r="B57" s="252" t="s">
        <v>511</v>
      </c>
      <c r="C57" s="157">
        <v>128</v>
      </c>
      <c r="D57" s="167" t="s">
        <v>93</v>
      </c>
      <c r="E57" s="157">
        <v>45</v>
      </c>
      <c r="F57" s="157">
        <f>+C57*E57</f>
        <v>5760</v>
      </c>
      <c r="G57" s="157">
        <v>30</v>
      </c>
      <c r="H57" s="157">
        <f>+G57*C57</f>
        <v>3840</v>
      </c>
      <c r="I57" s="157">
        <f>+F57+H57</f>
        <v>9600</v>
      </c>
      <c r="J57" s="357"/>
    </row>
    <row r="58" spans="1:10" ht="48.75" customHeight="1">
      <c r="A58" s="349"/>
      <c r="B58" s="377" t="s">
        <v>388</v>
      </c>
      <c r="C58" s="369"/>
      <c r="D58" s="369"/>
      <c r="E58" s="369"/>
      <c r="F58" s="233">
        <f>SUM(F36:F57)</f>
        <v>409637.06</v>
      </c>
      <c r="G58" s="378"/>
      <c r="H58" s="233">
        <f>SUM(H36:H57)</f>
        <v>154818.27000000002</v>
      </c>
      <c r="I58" s="233">
        <f>SUM(I36:I57)</f>
        <v>564455.3300000001</v>
      </c>
      <c r="J58" s="329"/>
    </row>
    <row r="59" spans="1:10" ht="44.25" customHeight="1">
      <c r="A59" s="379">
        <v>1.03</v>
      </c>
      <c r="B59" s="380" t="s">
        <v>300</v>
      </c>
      <c r="C59" s="335"/>
      <c r="D59" s="335"/>
      <c r="E59" s="335"/>
      <c r="F59" s="255"/>
      <c r="G59" s="335"/>
      <c r="H59" s="255"/>
      <c r="I59" s="255"/>
      <c r="J59" s="329"/>
    </row>
    <row r="60" spans="1:10" ht="21.75">
      <c r="A60" s="235"/>
      <c r="B60" s="358" t="s">
        <v>92</v>
      </c>
      <c r="C60" s="231"/>
      <c r="D60" s="231"/>
      <c r="E60" s="231"/>
      <c r="F60" s="155"/>
      <c r="G60" s="231"/>
      <c r="H60" s="155"/>
      <c r="I60" s="155"/>
      <c r="J60" s="329"/>
    </row>
    <row r="61" spans="1:10" ht="21.75">
      <c r="A61" s="167"/>
      <c r="B61" s="251" t="s">
        <v>297</v>
      </c>
      <c r="C61" s="157">
        <v>1</v>
      </c>
      <c r="D61" s="167" t="s">
        <v>75</v>
      </c>
      <c r="E61" s="157">
        <v>0</v>
      </c>
      <c r="F61" s="157">
        <f>+C61*E61</f>
        <v>0</v>
      </c>
      <c r="G61" s="157">
        <v>900</v>
      </c>
      <c r="H61" s="157">
        <f>+G61*C61</f>
        <v>900</v>
      </c>
      <c r="I61" s="157">
        <f>+F61+H61</f>
        <v>900</v>
      </c>
      <c r="J61" s="329"/>
    </row>
    <row r="62" spans="1:10" ht="21.75">
      <c r="A62" s="167"/>
      <c r="B62" s="251" t="s">
        <v>298</v>
      </c>
      <c r="C62" s="157">
        <v>62.55</v>
      </c>
      <c r="D62" s="167" t="s">
        <v>93</v>
      </c>
      <c r="E62" s="157">
        <v>0</v>
      </c>
      <c r="F62" s="157">
        <f>+C62*E62</f>
        <v>0</v>
      </c>
      <c r="G62" s="157">
        <v>25</v>
      </c>
      <c r="H62" s="157">
        <f>+G62*C62</f>
        <v>1563.75</v>
      </c>
      <c r="I62" s="157">
        <f>+F62+H62</f>
        <v>1563.75</v>
      </c>
      <c r="J62" s="329"/>
    </row>
    <row r="63" spans="1:10" ht="21.75">
      <c r="A63" s="235"/>
      <c r="B63" s="358" t="s">
        <v>250</v>
      </c>
      <c r="C63" s="155"/>
      <c r="D63" s="235"/>
      <c r="E63" s="155"/>
      <c r="F63" s="155"/>
      <c r="G63" s="155"/>
      <c r="H63" s="155"/>
      <c r="I63" s="155"/>
      <c r="J63" s="329"/>
    </row>
    <row r="64" spans="1:10" ht="21.75">
      <c r="A64" s="167"/>
      <c r="B64" s="358" t="s">
        <v>258</v>
      </c>
      <c r="C64" s="157"/>
      <c r="D64" s="167"/>
      <c r="E64" s="157"/>
      <c r="F64" s="157"/>
      <c r="G64" s="157"/>
      <c r="H64" s="157"/>
      <c r="I64" s="157"/>
      <c r="J64" s="329"/>
    </row>
    <row r="65" spans="1:10" ht="40.5" customHeight="1">
      <c r="A65" s="167"/>
      <c r="B65" s="361" t="s">
        <v>364</v>
      </c>
      <c r="C65" s="156">
        <v>71.9</v>
      </c>
      <c r="D65" s="162" t="s">
        <v>93</v>
      </c>
      <c r="E65" s="156">
        <v>273</v>
      </c>
      <c r="F65" s="156">
        <f>+C65*E65</f>
        <v>19628.7</v>
      </c>
      <c r="G65" s="156">
        <v>56</v>
      </c>
      <c r="H65" s="156">
        <f>+G65*C65</f>
        <v>4026.4000000000005</v>
      </c>
      <c r="I65" s="156">
        <f>+F65+H65</f>
        <v>23655.100000000002</v>
      </c>
      <c r="J65" s="329"/>
    </row>
    <row r="66" spans="1:10" ht="21.75" customHeight="1">
      <c r="A66" s="167"/>
      <c r="B66" s="251" t="s">
        <v>423</v>
      </c>
      <c r="C66" s="156">
        <v>32.65</v>
      </c>
      <c r="D66" s="162" t="s">
        <v>181</v>
      </c>
      <c r="E66" s="156">
        <v>70</v>
      </c>
      <c r="F66" s="156">
        <f>+C66*E66</f>
        <v>2285.5</v>
      </c>
      <c r="G66" s="156">
        <v>40</v>
      </c>
      <c r="H66" s="156">
        <f>+G66*C66</f>
        <v>1306</v>
      </c>
      <c r="I66" s="156">
        <f>+F66+H66</f>
        <v>3591.5</v>
      </c>
      <c r="J66" s="329"/>
    </row>
    <row r="67" spans="1:10" ht="21.75" customHeight="1">
      <c r="A67" s="167"/>
      <c r="B67" s="251" t="s">
        <v>339</v>
      </c>
      <c r="C67" s="157">
        <v>144.75</v>
      </c>
      <c r="D67" s="167" t="s">
        <v>93</v>
      </c>
      <c r="E67" s="157">
        <v>75</v>
      </c>
      <c r="F67" s="157">
        <f>+C67*E67</f>
        <v>10856.25</v>
      </c>
      <c r="G67" s="157">
        <v>87</v>
      </c>
      <c r="H67" s="157">
        <f>+G67*C67</f>
        <v>12593.25</v>
      </c>
      <c r="I67" s="157">
        <f>+F67+H67</f>
        <v>23449.5</v>
      </c>
      <c r="J67" s="329"/>
    </row>
    <row r="68" spans="1:10" s="297" customFormat="1" ht="21.75" customHeight="1">
      <c r="A68" s="167"/>
      <c r="B68" s="251" t="s">
        <v>567</v>
      </c>
      <c r="C68" s="157">
        <v>37.2</v>
      </c>
      <c r="D68" s="167" t="s">
        <v>93</v>
      </c>
      <c r="E68" s="157">
        <v>35</v>
      </c>
      <c r="F68" s="157">
        <f>+C68*E68</f>
        <v>1302</v>
      </c>
      <c r="G68" s="157">
        <v>25</v>
      </c>
      <c r="H68" s="157">
        <f>+G68*C68</f>
        <v>930.0000000000001</v>
      </c>
      <c r="I68" s="157">
        <f>+F68+H68</f>
        <v>2232</v>
      </c>
      <c r="J68" s="329"/>
    </row>
    <row r="69" spans="1:10" ht="21.75" customHeight="1">
      <c r="A69" s="167"/>
      <c r="B69" s="358" t="s">
        <v>260</v>
      </c>
      <c r="C69" s="157"/>
      <c r="D69" s="167"/>
      <c r="E69" s="157"/>
      <c r="F69" s="157"/>
      <c r="G69" s="157"/>
      <c r="H69" s="157"/>
      <c r="I69" s="157"/>
      <c r="J69" s="329"/>
    </row>
    <row r="70" spans="1:10" ht="40.5" customHeight="1">
      <c r="A70" s="167"/>
      <c r="B70" s="361" t="s">
        <v>340</v>
      </c>
      <c r="C70" s="156">
        <v>62.55</v>
      </c>
      <c r="D70" s="162" t="s">
        <v>93</v>
      </c>
      <c r="E70" s="156">
        <v>280</v>
      </c>
      <c r="F70" s="156">
        <f>+C70*E70</f>
        <v>17514</v>
      </c>
      <c r="G70" s="156">
        <v>75</v>
      </c>
      <c r="H70" s="156">
        <f>+G70*C70</f>
        <v>4691.25</v>
      </c>
      <c r="I70" s="156">
        <f>+F70+H70</f>
        <v>22205.25</v>
      </c>
      <c r="J70" s="329"/>
    </row>
    <row r="71" spans="1:10" ht="21.75">
      <c r="A71" s="167"/>
      <c r="B71" s="358" t="s">
        <v>261</v>
      </c>
      <c r="C71" s="157"/>
      <c r="D71" s="167"/>
      <c r="E71" s="157"/>
      <c r="F71" s="157"/>
      <c r="G71" s="157"/>
      <c r="H71" s="157"/>
      <c r="I71" s="157"/>
      <c r="J71" s="329"/>
    </row>
    <row r="72" spans="1:10" ht="21.75">
      <c r="A72" s="167"/>
      <c r="B72" s="251" t="s">
        <v>341</v>
      </c>
      <c r="C72" s="157">
        <v>1</v>
      </c>
      <c r="D72" s="167" t="s">
        <v>75</v>
      </c>
      <c r="E72" s="157">
        <v>7900</v>
      </c>
      <c r="F72" s="157">
        <f>+C72*E72</f>
        <v>7900</v>
      </c>
      <c r="G72" s="157">
        <v>1200</v>
      </c>
      <c r="H72" s="157">
        <f>+G72*C72</f>
        <v>1200</v>
      </c>
      <c r="I72" s="157">
        <f>+F72+H72</f>
        <v>9100</v>
      </c>
      <c r="J72" s="329"/>
    </row>
    <row r="73" spans="1:10" ht="21.75">
      <c r="A73" s="332"/>
      <c r="B73" s="259" t="s">
        <v>343</v>
      </c>
      <c r="C73" s="163">
        <v>1</v>
      </c>
      <c r="D73" s="332" t="s">
        <v>75</v>
      </c>
      <c r="E73" s="163">
        <v>6000</v>
      </c>
      <c r="F73" s="163">
        <f>+C73*E73</f>
        <v>6000</v>
      </c>
      <c r="G73" s="163">
        <v>650</v>
      </c>
      <c r="H73" s="163">
        <f>+G73*C73</f>
        <v>650</v>
      </c>
      <c r="I73" s="163">
        <f>+F73+H73</f>
        <v>6650</v>
      </c>
      <c r="J73" s="329"/>
    </row>
    <row r="74" spans="1:10" ht="21.75">
      <c r="A74" s="363"/>
      <c r="B74" s="364" t="s">
        <v>342</v>
      </c>
      <c r="C74" s="239">
        <v>3</v>
      </c>
      <c r="D74" s="363" t="s">
        <v>75</v>
      </c>
      <c r="E74" s="239">
        <v>3900</v>
      </c>
      <c r="F74" s="239">
        <f>+C74*E74</f>
        <v>11700</v>
      </c>
      <c r="G74" s="239">
        <v>250</v>
      </c>
      <c r="H74" s="239">
        <f>+G74*C74</f>
        <v>750</v>
      </c>
      <c r="I74" s="239">
        <f>+F74+H74</f>
        <v>12450</v>
      </c>
      <c r="J74" s="329"/>
    </row>
    <row r="75" spans="1:10" ht="21.75">
      <c r="A75" s="167"/>
      <c r="B75" s="251" t="s">
        <v>513</v>
      </c>
      <c r="C75" s="157">
        <v>2</v>
      </c>
      <c r="D75" s="167" t="s">
        <v>75</v>
      </c>
      <c r="E75" s="157">
        <v>250</v>
      </c>
      <c r="F75" s="157">
        <f>+C75*E75</f>
        <v>500</v>
      </c>
      <c r="G75" s="157">
        <v>150</v>
      </c>
      <c r="H75" s="157">
        <f>+G75*C75</f>
        <v>300</v>
      </c>
      <c r="I75" s="157">
        <f>+F75+H75</f>
        <v>800</v>
      </c>
      <c r="J75" s="329"/>
    </row>
    <row r="76" spans="1:10" ht="21.75">
      <c r="A76" s="167"/>
      <c r="B76" s="358" t="s">
        <v>266</v>
      </c>
      <c r="C76" s="157"/>
      <c r="D76" s="167"/>
      <c r="E76" s="157"/>
      <c r="F76" s="157"/>
      <c r="G76" s="157"/>
      <c r="H76" s="157"/>
      <c r="I76" s="157"/>
      <c r="J76" s="329"/>
    </row>
    <row r="77" spans="1:10" s="292" customFormat="1" ht="21.75" customHeight="1">
      <c r="A77" s="167"/>
      <c r="B77" s="365" t="s">
        <v>561</v>
      </c>
      <c r="C77" s="157">
        <v>97.34</v>
      </c>
      <c r="D77" s="167" t="s">
        <v>93</v>
      </c>
      <c r="E77" s="157">
        <v>65</v>
      </c>
      <c r="F77" s="157">
        <f>+C77*E77</f>
        <v>6327.1</v>
      </c>
      <c r="G77" s="157">
        <v>30</v>
      </c>
      <c r="H77" s="157">
        <f>+G77*C77</f>
        <v>2920.2000000000003</v>
      </c>
      <c r="I77" s="157">
        <f>+F77+H77</f>
        <v>9247.300000000001</v>
      </c>
      <c r="J77" s="329"/>
    </row>
    <row r="78" spans="1:10" s="292" customFormat="1" ht="21.75" customHeight="1">
      <c r="A78" s="167"/>
      <c r="B78" s="361" t="s">
        <v>511</v>
      </c>
      <c r="C78" s="157">
        <v>62.55</v>
      </c>
      <c r="D78" s="167" t="s">
        <v>93</v>
      </c>
      <c r="E78" s="157">
        <v>45</v>
      </c>
      <c r="F78" s="157">
        <f>+C78*E78</f>
        <v>2814.75</v>
      </c>
      <c r="G78" s="157">
        <v>30</v>
      </c>
      <c r="H78" s="157">
        <f>+G78*C78</f>
        <v>1876.5</v>
      </c>
      <c r="I78" s="157">
        <f>+F78+H78</f>
        <v>4691.25</v>
      </c>
      <c r="J78" s="329"/>
    </row>
    <row r="79" spans="1:10" ht="21.75" customHeight="1">
      <c r="A79" s="235"/>
      <c r="B79" s="371" t="s">
        <v>425</v>
      </c>
      <c r="C79" s="231"/>
      <c r="D79" s="231"/>
      <c r="E79" s="231"/>
      <c r="F79" s="228">
        <f>SUM(F61:F78)</f>
        <v>86828.3</v>
      </c>
      <c r="G79" s="372"/>
      <c r="H79" s="228">
        <f>SUM(H61:H78)</f>
        <v>33707.350000000006</v>
      </c>
      <c r="I79" s="228">
        <f>SUM(I61:I78)</f>
        <v>120535.65000000001</v>
      </c>
      <c r="J79" s="329"/>
    </row>
    <row r="80" spans="1:10" ht="21.75" customHeight="1">
      <c r="A80" s="324">
        <v>1.04</v>
      </c>
      <c r="B80" s="367" t="s">
        <v>555</v>
      </c>
      <c r="C80" s="231"/>
      <c r="D80" s="231"/>
      <c r="E80" s="231"/>
      <c r="F80" s="155"/>
      <c r="G80" s="231"/>
      <c r="H80" s="155"/>
      <c r="I80" s="155"/>
      <c r="J80" s="329"/>
    </row>
    <row r="81" spans="1:10" ht="21.75">
      <c r="A81" s="336"/>
      <c r="B81" s="358" t="s">
        <v>288</v>
      </c>
      <c r="C81" s="231"/>
      <c r="D81" s="231"/>
      <c r="E81" s="231"/>
      <c r="F81" s="155"/>
      <c r="G81" s="231"/>
      <c r="H81" s="155"/>
      <c r="I81" s="155"/>
      <c r="J81" s="329"/>
    </row>
    <row r="82" spans="1:10" ht="21.75">
      <c r="A82" s="327"/>
      <c r="B82" s="251" t="s">
        <v>457</v>
      </c>
      <c r="C82" s="157">
        <v>2</v>
      </c>
      <c r="D82" s="373" t="s">
        <v>75</v>
      </c>
      <c r="E82" s="157">
        <v>0</v>
      </c>
      <c r="F82" s="157">
        <f>+C82*E82</f>
        <v>0</v>
      </c>
      <c r="G82" s="157">
        <v>300</v>
      </c>
      <c r="H82" s="157">
        <f>+G82*C82</f>
        <v>600</v>
      </c>
      <c r="I82" s="157">
        <f>+F82+H82</f>
        <v>600</v>
      </c>
      <c r="J82" s="329"/>
    </row>
    <row r="83" spans="1:10" ht="21.75">
      <c r="A83" s="336"/>
      <c r="B83" s="358" t="s">
        <v>287</v>
      </c>
      <c r="C83" s="155"/>
      <c r="D83" s="235"/>
      <c r="E83" s="155"/>
      <c r="F83" s="155"/>
      <c r="G83" s="155"/>
      <c r="H83" s="155"/>
      <c r="I83" s="155"/>
      <c r="J83" s="329"/>
    </row>
    <row r="84" spans="1:10" ht="42.75" customHeight="1">
      <c r="A84" s="327"/>
      <c r="B84" s="365" t="s">
        <v>556</v>
      </c>
      <c r="C84" s="156">
        <v>1</v>
      </c>
      <c r="D84" s="162" t="s">
        <v>75</v>
      </c>
      <c r="E84" s="156">
        <v>45000</v>
      </c>
      <c r="F84" s="156">
        <f>+C84*E84</f>
        <v>45000</v>
      </c>
      <c r="G84" s="156">
        <v>2000</v>
      </c>
      <c r="H84" s="156">
        <f>+G84*C84</f>
        <v>2000</v>
      </c>
      <c r="I84" s="156">
        <f>+F84+H84</f>
        <v>47000</v>
      </c>
      <c r="J84" s="329"/>
    </row>
    <row r="85" spans="1:10" ht="21.75">
      <c r="A85" s="225"/>
      <c r="B85" s="596" t="s">
        <v>557</v>
      </c>
      <c r="C85" s="369"/>
      <c r="D85" s="369"/>
      <c r="E85" s="369"/>
      <c r="F85" s="180">
        <f>SUM(F82:F84)</f>
        <v>45000</v>
      </c>
      <c r="G85" s="369"/>
      <c r="H85" s="180">
        <f>SUM(H82:H84)</f>
        <v>2600</v>
      </c>
      <c r="I85" s="180">
        <f>SUM(I82:I84)</f>
        <v>47600</v>
      </c>
      <c r="J85" s="329"/>
    </row>
    <row r="86" spans="1:10" ht="44.25" customHeight="1">
      <c r="A86" s="379">
        <v>1.05</v>
      </c>
      <c r="B86" s="598" t="s">
        <v>301</v>
      </c>
      <c r="C86" s="335"/>
      <c r="D86" s="335"/>
      <c r="E86" s="335"/>
      <c r="F86" s="255"/>
      <c r="G86" s="335"/>
      <c r="H86" s="255"/>
      <c r="I86" s="255"/>
      <c r="J86" s="329"/>
    </row>
    <row r="87" spans="1:10" ht="21.75">
      <c r="A87" s="235"/>
      <c r="B87" s="358" t="s">
        <v>288</v>
      </c>
      <c r="C87" s="231"/>
      <c r="D87" s="231"/>
      <c r="E87" s="231"/>
      <c r="F87" s="155"/>
      <c r="G87" s="231"/>
      <c r="H87" s="155"/>
      <c r="I87" s="155"/>
      <c r="J87" s="329"/>
    </row>
    <row r="88" spans="1:10" ht="21.75">
      <c r="A88" s="167"/>
      <c r="B88" s="251" t="s">
        <v>384</v>
      </c>
      <c r="C88" s="157">
        <v>1</v>
      </c>
      <c r="D88" s="167" t="s">
        <v>75</v>
      </c>
      <c r="E88" s="157">
        <v>0</v>
      </c>
      <c r="F88" s="157">
        <f>+C88*E88</f>
        <v>0</v>
      </c>
      <c r="G88" s="157">
        <v>400</v>
      </c>
      <c r="H88" s="157">
        <f>+G88*C88</f>
        <v>400</v>
      </c>
      <c r="I88" s="157">
        <f>+F88+H88</f>
        <v>400</v>
      </c>
      <c r="J88" s="329"/>
    </row>
    <row r="89" spans="1:10" ht="21.75">
      <c r="A89" s="167"/>
      <c r="B89" s="251" t="s">
        <v>426</v>
      </c>
      <c r="C89" s="157">
        <v>2</v>
      </c>
      <c r="D89" s="167" t="s">
        <v>75</v>
      </c>
      <c r="E89" s="157">
        <v>0</v>
      </c>
      <c r="F89" s="157">
        <f>+C89*E89</f>
        <v>0</v>
      </c>
      <c r="G89" s="157">
        <v>300</v>
      </c>
      <c r="H89" s="157">
        <f>+G89*C89</f>
        <v>600</v>
      </c>
      <c r="I89" s="157">
        <f>+F89+H89</f>
        <v>600</v>
      </c>
      <c r="J89" s="329"/>
    </row>
    <row r="90" spans="1:10" ht="21.75">
      <c r="A90" s="167"/>
      <c r="B90" s="251" t="s">
        <v>298</v>
      </c>
      <c r="C90" s="157">
        <v>32.48</v>
      </c>
      <c r="D90" s="167" t="s">
        <v>93</v>
      </c>
      <c r="E90" s="157">
        <v>0</v>
      </c>
      <c r="F90" s="157">
        <f>+C90*E90</f>
        <v>0</v>
      </c>
      <c r="G90" s="157">
        <v>30</v>
      </c>
      <c r="H90" s="157">
        <f>+G90*C90</f>
        <v>974.3999999999999</v>
      </c>
      <c r="I90" s="157">
        <f>+F90+H90</f>
        <v>974.3999999999999</v>
      </c>
      <c r="J90" s="329"/>
    </row>
    <row r="91" spans="1:10" ht="21.75">
      <c r="A91" s="235"/>
      <c r="B91" s="358" t="s">
        <v>250</v>
      </c>
      <c r="C91" s="155"/>
      <c r="D91" s="235"/>
      <c r="E91" s="155"/>
      <c r="F91" s="155"/>
      <c r="G91" s="155"/>
      <c r="H91" s="155"/>
      <c r="I91" s="155"/>
      <c r="J91" s="329"/>
    </row>
    <row r="92" spans="1:10" ht="21.75">
      <c r="A92" s="167"/>
      <c r="B92" s="358" t="s">
        <v>259</v>
      </c>
      <c r="C92" s="157"/>
      <c r="D92" s="167"/>
      <c r="E92" s="157"/>
      <c r="F92" s="157"/>
      <c r="G92" s="157"/>
      <c r="H92" s="157"/>
      <c r="I92" s="157"/>
      <c r="J92" s="329"/>
    </row>
    <row r="93" spans="1:10" ht="21.75">
      <c r="A93" s="167"/>
      <c r="B93" s="252" t="s">
        <v>348</v>
      </c>
      <c r="C93" s="157">
        <v>13.35</v>
      </c>
      <c r="D93" s="167" t="s">
        <v>93</v>
      </c>
      <c r="E93" s="157">
        <v>0</v>
      </c>
      <c r="F93" s="157">
        <f>+C93*E93</f>
        <v>0</v>
      </c>
      <c r="G93" s="157">
        <v>120</v>
      </c>
      <c r="H93" s="157">
        <f>+G93*C93</f>
        <v>1602</v>
      </c>
      <c r="I93" s="157">
        <f>+F93+H93</f>
        <v>1602</v>
      </c>
      <c r="J93" s="329"/>
    </row>
    <row r="94" spans="1:10" s="297" customFormat="1" ht="21.75">
      <c r="A94" s="167"/>
      <c r="B94" s="252" t="s">
        <v>519</v>
      </c>
      <c r="C94" s="156">
        <v>13.35</v>
      </c>
      <c r="D94" s="162" t="s">
        <v>93</v>
      </c>
      <c r="E94" s="156">
        <v>450</v>
      </c>
      <c r="F94" s="156">
        <f>+C94*E94</f>
        <v>6007.5</v>
      </c>
      <c r="G94" s="156">
        <v>222</v>
      </c>
      <c r="H94" s="156">
        <f>+G94*C94</f>
        <v>2963.7</v>
      </c>
      <c r="I94" s="156">
        <f>+F94+H94</f>
        <v>8971.2</v>
      </c>
      <c r="J94" s="329"/>
    </row>
    <row r="95" spans="1:10" ht="21.75">
      <c r="A95" s="167"/>
      <c r="B95" s="358" t="s">
        <v>258</v>
      </c>
      <c r="C95" s="157"/>
      <c r="D95" s="167"/>
      <c r="E95" s="157"/>
      <c r="F95" s="157"/>
      <c r="G95" s="157"/>
      <c r="H95" s="157"/>
      <c r="I95" s="157"/>
      <c r="J95" s="329"/>
    </row>
    <row r="96" spans="1:10" ht="42" customHeight="1">
      <c r="A96" s="167"/>
      <c r="B96" s="361" t="s">
        <v>349</v>
      </c>
      <c r="C96" s="156">
        <v>110</v>
      </c>
      <c r="D96" s="162" t="s">
        <v>93</v>
      </c>
      <c r="E96" s="156">
        <v>273</v>
      </c>
      <c r="F96" s="156">
        <f>+C96*E96</f>
        <v>30030</v>
      </c>
      <c r="G96" s="156">
        <v>56</v>
      </c>
      <c r="H96" s="156">
        <f>+G96*C96</f>
        <v>6160</v>
      </c>
      <c r="I96" s="156">
        <f>+F96+H96</f>
        <v>36190</v>
      </c>
      <c r="J96" s="329"/>
    </row>
    <row r="97" spans="1:10" s="297" customFormat="1" ht="21.75" customHeight="1">
      <c r="A97" s="167"/>
      <c r="B97" s="361" t="s">
        <v>525</v>
      </c>
      <c r="C97" s="156">
        <v>41.62</v>
      </c>
      <c r="D97" s="162" t="s">
        <v>93</v>
      </c>
      <c r="E97" s="156">
        <v>470</v>
      </c>
      <c r="F97" s="156">
        <f>+C97*E97</f>
        <v>19561.399999999998</v>
      </c>
      <c r="G97" s="156">
        <v>190</v>
      </c>
      <c r="H97" s="156">
        <f>+G97*C97</f>
        <v>7907.799999999999</v>
      </c>
      <c r="I97" s="156">
        <f>+F97+H97</f>
        <v>27469.199999999997</v>
      </c>
      <c r="J97" s="329"/>
    </row>
    <row r="98" spans="1:10" ht="21.75" customHeight="1">
      <c r="A98" s="167"/>
      <c r="B98" s="361" t="s">
        <v>427</v>
      </c>
      <c r="C98" s="156">
        <v>32.2</v>
      </c>
      <c r="D98" s="162" t="s">
        <v>93</v>
      </c>
      <c r="E98" s="156">
        <v>70</v>
      </c>
      <c r="F98" s="156">
        <f>+C98*E98</f>
        <v>2254</v>
      </c>
      <c r="G98" s="156">
        <v>40</v>
      </c>
      <c r="H98" s="156">
        <f>+G98*C98</f>
        <v>1288</v>
      </c>
      <c r="I98" s="156">
        <f>+F98+H98</f>
        <v>3542</v>
      </c>
      <c r="J98" s="329"/>
    </row>
    <row r="99" spans="1:10" ht="21.75" customHeight="1">
      <c r="A99" s="332"/>
      <c r="B99" s="259" t="s">
        <v>318</v>
      </c>
      <c r="C99" s="163">
        <v>187.52</v>
      </c>
      <c r="D99" s="332" t="s">
        <v>93</v>
      </c>
      <c r="E99" s="163">
        <v>75</v>
      </c>
      <c r="F99" s="163">
        <f>+C99*E99</f>
        <v>14064</v>
      </c>
      <c r="G99" s="163">
        <v>87</v>
      </c>
      <c r="H99" s="163">
        <f>+G99*C99</f>
        <v>16314.240000000002</v>
      </c>
      <c r="I99" s="163">
        <f>+F99+H99</f>
        <v>30378.24</v>
      </c>
      <c r="J99" s="329"/>
    </row>
    <row r="100" spans="1:10" ht="21.75" customHeight="1">
      <c r="A100" s="363"/>
      <c r="B100" s="354" t="s">
        <v>260</v>
      </c>
      <c r="C100" s="239"/>
      <c r="D100" s="363"/>
      <c r="E100" s="239"/>
      <c r="F100" s="239"/>
      <c r="G100" s="239"/>
      <c r="H100" s="239"/>
      <c r="I100" s="239"/>
      <c r="J100" s="329"/>
    </row>
    <row r="101" spans="1:10" ht="42" customHeight="1">
      <c r="A101" s="167"/>
      <c r="B101" s="361" t="s">
        <v>429</v>
      </c>
      <c r="C101" s="156">
        <v>16.42</v>
      </c>
      <c r="D101" s="162" t="s">
        <v>93</v>
      </c>
      <c r="E101" s="156">
        <v>280</v>
      </c>
      <c r="F101" s="156">
        <f>+C101*E101</f>
        <v>4597.6</v>
      </c>
      <c r="G101" s="156">
        <v>75</v>
      </c>
      <c r="H101" s="156">
        <f>+G101*C101</f>
        <v>1231.5000000000002</v>
      </c>
      <c r="I101" s="156">
        <f>+F101+H101</f>
        <v>5829.1</v>
      </c>
      <c r="J101" s="329"/>
    </row>
    <row r="102" spans="1:10" ht="39" customHeight="1">
      <c r="A102" s="167"/>
      <c r="B102" s="361" t="s">
        <v>428</v>
      </c>
      <c r="C102" s="156">
        <v>13.35</v>
      </c>
      <c r="D102" s="162" t="s">
        <v>93</v>
      </c>
      <c r="E102" s="156">
        <v>320</v>
      </c>
      <c r="F102" s="156">
        <f>+C102*E102</f>
        <v>4272</v>
      </c>
      <c r="G102" s="156">
        <v>75</v>
      </c>
      <c r="H102" s="156">
        <f>+G102*C102</f>
        <v>1001.25</v>
      </c>
      <c r="I102" s="156">
        <f>+F102+H102</f>
        <v>5273.25</v>
      </c>
      <c r="J102" s="329"/>
    </row>
    <row r="103" spans="1:10" ht="21.75">
      <c r="A103" s="167"/>
      <c r="B103" s="358" t="s">
        <v>261</v>
      </c>
      <c r="C103" s="157"/>
      <c r="D103" s="167"/>
      <c r="E103" s="157"/>
      <c r="F103" s="157"/>
      <c r="G103" s="157"/>
      <c r="H103" s="157"/>
      <c r="I103" s="157"/>
      <c r="J103" s="329"/>
    </row>
    <row r="104" spans="1:10" ht="21.75">
      <c r="A104" s="167"/>
      <c r="B104" s="251" t="s">
        <v>350</v>
      </c>
      <c r="C104" s="157">
        <v>1</v>
      </c>
      <c r="D104" s="167" t="s">
        <v>75</v>
      </c>
      <c r="E104" s="157">
        <v>6000</v>
      </c>
      <c r="F104" s="157">
        <f>+C104*E104</f>
        <v>6000</v>
      </c>
      <c r="G104" s="157">
        <v>650</v>
      </c>
      <c r="H104" s="157">
        <f>+G104*C104</f>
        <v>650</v>
      </c>
      <c r="I104" s="157">
        <f>+F104+H104</f>
        <v>6650</v>
      </c>
      <c r="J104" s="329"/>
    </row>
    <row r="105" spans="1:10" ht="21.75">
      <c r="A105" s="167"/>
      <c r="B105" s="251" t="s">
        <v>351</v>
      </c>
      <c r="C105" s="157">
        <v>2</v>
      </c>
      <c r="D105" s="167" t="s">
        <v>75</v>
      </c>
      <c r="E105" s="157">
        <v>3500</v>
      </c>
      <c r="F105" s="157">
        <f>+C105*E105</f>
        <v>7000</v>
      </c>
      <c r="G105" s="157">
        <v>2500</v>
      </c>
      <c r="H105" s="157">
        <f>+G105*C105</f>
        <v>5000</v>
      </c>
      <c r="I105" s="157">
        <f>+F105+H105</f>
        <v>12000</v>
      </c>
      <c r="J105" s="329"/>
    </row>
    <row r="106" spans="1:10" ht="21.75">
      <c r="A106" s="167"/>
      <c r="B106" s="251" t="s">
        <v>352</v>
      </c>
      <c r="C106" s="157">
        <v>1</v>
      </c>
      <c r="D106" s="167" t="s">
        <v>75</v>
      </c>
      <c r="E106" s="157">
        <v>3000</v>
      </c>
      <c r="F106" s="157">
        <f>+C106*E106</f>
        <v>3000</v>
      </c>
      <c r="G106" s="157">
        <v>250</v>
      </c>
      <c r="H106" s="157">
        <f>+G106*C106</f>
        <v>250</v>
      </c>
      <c r="I106" s="157">
        <f>+F106+H106</f>
        <v>3250</v>
      </c>
      <c r="J106" s="329"/>
    </row>
    <row r="107" spans="1:10" ht="21.75">
      <c r="A107" s="167"/>
      <c r="B107" s="358" t="s">
        <v>266</v>
      </c>
      <c r="C107" s="157"/>
      <c r="D107" s="167"/>
      <c r="E107" s="157"/>
      <c r="F107" s="157"/>
      <c r="G107" s="157"/>
      <c r="H107" s="157"/>
      <c r="I107" s="157"/>
      <c r="J107" s="329"/>
    </row>
    <row r="108" spans="1:10" s="292" customFormat="1" ht="21.75">
      <c r="A108" s="167"/>
      <c r="B108" s="365" t="s">
        <v>604</v>
      </c>
      <c r="C108" s="156">
        <v>180.88</v>
      </c>
      <c r="D108" s="162" t="s">
        <v>93</v>
      </c>
      <c r="E108" s="156">
        <v>80</v>
      </c>
      <c r="F108" s="156">
        <f>+C108*E108</f>
        <v>14470.4</v>
      </c>
      <c r="G108" s="156">
        <v>30</v>
      </c>
      <c r="H108" s="156">
        <f>+G108*C108</f>
        <v>5426.4</v>
      </c>
      <c r="I108" s="156">
        <f>+F108+H108</f>
        <v>19896.8</v>
      </c>
      <c r="J108" s="329"/>
    </row>
    <row r="109" spans="1:10" s="292" customFormat="1" ht="21.75">
      <c r="A109" s="167"/>
      <c r="B109" s="365" t="s">
        <v>521</v>
      </c>
      <c r="C109" s="157">
        <v>31.77</v>
      </c>
      <c r="D109" s="167" t="s">
        <v>93</v>
      </c>
      <c r="E109" s="157">
        <v>45</v>
      </c>
      <c r="F109" s="157">
        <f>+C109*E109</f>
        <v>1429.65</v>
      </c>
      <c r="G109" s="157">
        <v>30</v>
      </c>
      <c r="H109" s="157">
        <f>+G109*C109</f>
        <v>953.1</v>
      </c>
      <c r="I109" s="157">
        <f>+F109+H109</f>
        <v>2382.75</v>
      </c>
      <c r="J109" s="329"/>
    </row>
    <row r="110" spans="1:10" ht="21.75">
      <c r="A110" s="167"/>
      <c r="B110" s="358" t="s">
        <v>271</v>
      </c>
      <c r="C110" s="157"/>
      <c r="D110" s="167"/>
      <c r="E110" s="157"/>
      <c r="F110" s="157"/>
      <c r="G110" s="157"/>
      <c r="H110" s="157"/>
      <c r="I110" s="157"/>
      <c r="J110" s="329"/>
    </row>
    <row r="111" spans="1:10" ht="21.75">
      <c r="A111" s="167"/>
      <c r="B111" s="251" t="s">
        <v>353</v>
      </c>
      <c r="C111" s="157">
        <v>2</v>
      </c>
      <c r="D111" s="167" t="s">
        <v>75</v>
      </c>
      <c r="E111" s="157">
        <v>4900</v>
      </c>
      <c r="F111" s="157">
        <f aca="true" t="shared" si="6" ref="F111:F122">+C111*E111</f>
        <v>9800</v>
      </c>
      <c r="G111" s="157">
        <v>450</v>
      </c>
      <c r="H111" s="157">
        <f aca="true" t="shared" si="7" ref="H111:H122">+G111*C111</f>
        <v>900</v>
      </c>
      <c r="I111" s="157">
        <f aca="true" t="shared" si="8" ref="I111:I122">+F111+H111</f>
        <v>10700</v>
      </c>
      <c r="J111" s="329"/>
    </row>
    <row r="112" spans="1:10" ht="21.75">
      <c r="A112" s="167"/>
      <c r="B112" s="251" t="s">
        <v>607</v>
      </c>
      <c r="C112" s="157">
        <v>2</v>
      </c>
      <c r="D112" s="167" t="s">
        <v>75</v>
      </c>
      <c r="E112" s="157">
        <v>650</v>
      </c>
      <c r="F112" s="157">
        <f t="shared" si="6"/>
        <v>1300</v>
      </c>
      <c r="G112" s="157">
        <v>70</v>
      </c>
      <c r="H112" s="157">
        <f t="shared" si="7"/>
        <v>140</v>
      </c>
      <c r="I112" s="157">
        <f t="shared" si="8"/>
        <v>1440</v>
      </c>
      <c r="J112" s="329"/>
    </row>
    <row r="113" spans="1:10" ht="21.75">
      <c r="A113" s="167"/>
      <c r="B113" s="251" t="s">
        <v>354</v>
      </c>
      <c r="C113" s="157">
        <v>6</v>
      </c>
      <c r="D113" s="167" t="s">
        <v>75</v>
      </c>
      <c r="E113" s="157">
        <v>2200</v>
      </c>
      <c r="F113" s="157">
        <f t="shared" si="6"/>
        <v>13200</v>
      </c>
      <c r="G113" s="157">
        <v>70</v>
      </c>
      <c r="H113" s="157">
        <f t="shared" si="7"/>
        <v>420</v>
      </c>
      <c r="I113" s="157">
        <f t="shared" si="8"/>
        <v>13620</v>
      </c>
      <c r="J113" s="329"/>
    </row>
    <row r="114" spans="1:10" ht="21.75">
      <c r="A114" s="332"/>
      <c r="B114" s="259" t="s">
        <v>389</v>
      </c>
      <c r="C114" s="163">
        <v>1</v>
      </c>
      <c r="D114" s="332" t="s">
        <v>75</v>
      </c>
      <c r="E114" s="163">
        <v>1600</v>
      </c>
      <c r="F114" s="163">
        <f>+C114*E114</f>
        <v>1600</v>
      </c>
      <c r="G114" s="163">
        <v>70</v>
      </c>
      <c r="H114" s="163">
        <f>+G114*C114</f>
        <v>70</v>
      </c>
      <c r="I114" s="163">
        <f>+F114+H114</f>
        <v>1670</v>
      </c>
      <c r="J114" s="329"/>
    </row>
    <row r="115" spans="1:10" ht="42" customHeight="1">
      <c r="A115" s="363"/>
      <c r="B115" s="381" t="s">
        <v>609</v>
      </c>
      <c r="C115" s="234">
        <v>2</v>
      </c>
      <c r="D115" s="256" t="s">
        <v>75</v>
      </c>
      <c r="E115" s="234">
        <v>3800</v>
      </c>
      <c r="F115" s="234">
        <f t="shared" si="6"/>
        <v>7600</v>
      </c>
      <c r="G115" s="234">
        <v>450</v>
      </c>
      <c r="H115" s="234">
        <f t="shared" si="7"/>
        <v>900</v>
      </c>
      <c r="I115" s="234">
        <f t="shared" si="8"/>
        <v>8500</v>
      </c>
      <c r="J115" s="329"/>
    </row>
    <row r="116" spans="1:10" ht="21.75" customHeight="1">
      <c r="A116" s="167"/>
      <c r="B116" s="251" t="s">
        <v>606</v>
      </c>
      <c r="C116" s="157">
        <v>1</v>
      </c>
      <c r="D116" s="167" t="s">
        <v>75</v>
      </c>
      <c r="E116" s="157">
        <v>450</v>
      </c>
      <c r="F116" s="157">
        <f t="shared" si="6"/>
        <v>450</v>
      </c>
      <c r="G116" s="157">
        <v>75</v>
      </c>
      <c r="H116" s="157">
        <f t="shared" si="7"/>
        <v>75</v>
      </c>
      <c r="I116" s="157">
        <f t="shared" si="8"/>
        <v>525</v>
      </c>
      <c r="J116" s="329"/>
    </row>
    <row r="117" spans="1:10" ht="41.25" customHeight="1">
      <c r="A117" s="167"/>
      <c r="B117" s="361" t="s">
        <v>307</v>
      </c>
      <c r="C117" s="156">
        <v>1</v>
      </c>
      <c r="D117" s="162" t="s">
        <v>75</v>
      </c>
      <c r="E117" s="156">
        <v>3000</v>
      </c>
      <c r="F117" s="156">
        <f t="shared" si="6"/>
        <v>3000</v>
      </c>
      <c r="G117" s="156">
        <v>170</v>
      </c>
      <c r="H117" s="156">
        <f t="shared" si="7"/>
        <v>170</v>
      </c>
      <c r="I117" s="156">
        <f t="shared" si="8"/>
        <v>3170</v>
      </c>
      <c r="J117" s="329"/>
    </row>
    <row r="118" spans="1:10" ht="21.75" customHeight="1">
      <c r="A118" s="167"/>
      <c r="B118" s="361" t="s">
        <v>611</v>
      </c>
      <c r="C118" s="156">
        <v>1</v>
      </c>
      <c r="D118" s="162" t="s">
        <v>75</v>
      </c>
      <c r="E118" s="156">
        <v>600</v>
      </c>
      <c r="F118" s="156">
        <f>+C118*E118</f>
        <v>600</v>
      </c>
      <c r="G118" s="156">
        <v>70</v>
      </c>
      <c r="H118" s="156">
        <f>+G118*C118</f>
        <v>70</v>
      </c>
      <c r="I118" s="156">
        <f>+F118+H118</f>
        <v>670</v>
      </c>
      <c r="J118" s="329"/>
    </row>
    <row r="119" spans="1:10" s="297" customFormat="1" ht="21.75">
      <c r="A119" s="167"/>
      <c r="B119" s="251" t="s">
        <v>636</v>
      </c>
      <c r="C119" s="157">
        <v>2</v>
      </c>
      <c r="D119" s="167" t="s">
        <v>75</v>
      </c>
      <c r="E119" s="157">
        <v>18000</v>
      </c>
      <c r="F119" s="157">
        <f t="shared" si="6"/>
        <v>36000</v>
      </c>
      <c r="G119" s="157">
        <v>900</v>
      </c>
      <c r="H119" s="157">
        <f t="shared" si="7"/>
        <v>1800</v>
      </c>
      <c r="I119" s="157">
        <f t="shared" si="8"/>
        <v>37800</v>
      </c>
      <c r="J119" s="329"/>
    </row>
    <row r="120" spans="1:10" ht="43.5">
      <c r="A120" s="167"/>
      <c r="B120" s="365" t="s">
        <v>637</v>
      </c>
      <c r="C120" s="156">
        <v>1</v>
      </c>
      <c r="D120" s="162" t="s">
        <v>75</v>
      </c>
      <c r="E120" s="156">
        <v>18000</v>
      </c>
      <c r="F120" s="156">
        <f>+C120*E120</f>
        <v>18000</v>
      </c>
      <c r="G120" s="156">
        <v>900</v>
      </c>
      <c r="H120" s="156">
        <f>+G120*C120</f>
        <v>900</v>
      </c>
      <c r="I120" s="156">
        <f>+F120+H120</f>
        <v>18900</v>
      </c>
      <c r="J120" s="329"/>
    </row>
    <row r="121" spans="1:10" ht="21.75">
      <c r="A121" s="167"/>
      <c r="B121" s="251" t="s">
        <v>605</v>
      </c>
      <c r="C121" s="157">
        <v>1</v>
      </c>
      <c r="D121" s="167" t="s">
        <v>75</v>
      </c>
      <c r="E121" s="157">
        <v>2100</v>
      </c>
      <c r="F121" s="157">
        <f>+C121*E121</f>
        <v>2100</v>
      </c>
      <c r="G121" s="157">
        <v>75</v>
      </c>
      <c r="H121" s="157">
        <f>+G121*C121</f>
        <v>75</v>
      </c>
      <c r="I121" s="157">
        <f>+F121+H121</f>
        <v>2175</v>
      </c>
      <c r="J121" s="329"/>
    </row>
    <row r="122" spans="1:10" ht="21.75">
      <c r="A122" s="167"/>
      <c r="B122" s="251" t="s">
        <v>580</v>
      </c>
      <c r="C122" s="157">
        <v>1</v>
      </c>
      <c r="D122" s="167" t="s">
        <v>75</v>
      </c>
      <c r="E122" s="157">
        <v>1500</v>
      </c>
      <c r="F122" s="157">
        <f t="shared" si="6"/>
        <v>1500</v>
      </c>
      <c r="G122" s="157">
        <v>0</v>
      </c>
      <c r="H122" s="157">
        <f t="shared" si="7"/>
        <v>0</v>
      </c>
      <c r="I122" s="157">
        <f t="shared" si="8"/>
        <v>1500</v>
      </c>
      <c r="J122" s="329"/>
    </row>
    <row r="123" spans="1:10" ht="21.75">
      <c r="A123" s="167"/>
      <c r="B123" s="251" t="s">
        <v>323</v>
      </c>
      <c r="C123" s="157">
        <v>1</v>
      </c>
      <c r="D123" s="167" t="s">
        <v>75</v>
      </c>
      <c r="E123" s="157">
        <v>150</v>
      </c>
      <c r="F123" s="157">
        <f>+C123*E123</f>
        <v>150</v>
      </c>
      <c r="G123" s="157">
        <v>70</v>
      </c>
      <c r="H123" s="157">
        <f>+G123*C123</f>
        <v>70</v>
      </c>
      <c r="I123" s="157">
        <f>+F123+H123</f>
        <v>220</v>
      </c>
      <c r="J123" s="329"/>
    </row>
    <row r="124" spans="1:10" ht="21.75">
      <c r="A124" s="167"/>
      <c r="B124" s="251" t="s">
        <v>450</v>
      </c>
      <c r="C124" s="157">
        <v>1.38</v>
      </c>
      <c r="D124" s="167" t="s">
        <v>93</v>
      </c>
      <c r="E124" s="157">
        <v>6500</v>
      </c>
      <c r="F124" s="157">
        <f>+C124*E124</f>
        <v>8970</v>
      </c>
      <c r="G124" s="157">
        <v>0</v>
      </c>
      <c r="H124" s="157">
        <f>+G124*C124</f>
        <v>0</v>
      </c>
      <c r="I124" s="157">
        <f>+F124+H124</f>
        <v>8970</v>
      </c>
      <c r="J124" s="329"/>
    </row>
    <row r="125" spans="1:10" ht="44.25" customHeight="1">
      <c r="A125" s="167"/>
      <c r="B125" s="365" t="s">
        <v>454</v>
      </c>
      <c r="C125" s="156">
        <v>3.1</v>
      </c>
      <c r="D125" s="162" t="s">
        <v>181</v>
      </c>
      <c r="E125" s="156">
        <v>1450</v>
      </c>
      <c r="F125" s="156">
        <f>+C125*E125</f>
        <v>4495</v>
      </c>
      <c r="G125" s="156">
        <v>0</v>
      </c>
      <c r="H125" s="156">
        <f>+G125*C125</f>
        <v>0</v>
      </c>
      <c r="I125" s="156">
        <f>+F125+H125</f>
        <v>4495</v>
      </c>
      <c r="J125" s="329"/>
    </row>
    <row r="126" spans="1:10" ht="21.75" customHeight="1">
      <c r="A126" s="349"/>
      <c r="B126" s="377" t="s">
        <v>528</v>
      </c>
      <c r="C126" s="369"/>
      <c r="D126" s="369"/>
      <c r="E126" s="369"/>
      <c r="F126" s="233">
        <f>SUM(F88:F125)</f>
        <v>221451.55</v>
      </c>
      <c r="G126" s="378"/>
      <c r="H126" s="233">
        <f>SUM(H88:H125)</f>
        <v>58312.39</v>
      </c>
      <c r="I126" s="233">
        <f>SUM(I88:I125)</f>
        <v>279763.94</v>
      </c>
      <c r="J126" s="329"/>
    </row>
    <row r="127" spans="1:10" ht="43.5" customHeight="1">
      <c r="A127" s="379">
        <v>1.06</v>
      </c>
      <c r="B127" s="380" t="s">
        <v>344</v>
      </c>
      <c r="C127" s="335"/>
      <c r="D127" s="335"/>
      <c r="E127" s="335"/>
      <c r="F127" s="255"/>
      <c r="G127" s="335"/>
      <c r="H127" s="255"/>
      <c r="I127" s="255"/>
      <c r="J127" s="329"/>
    </row>
    <row r="128" spans="1:10" ht="21.75">
      <c r="A128" s="235"/>
      <c r="B128" s="358" t="s">
        <v>92</v>
      </c>
      <c r="C128" s="231"/>
      <c r="D128" s="231"/>
      <c r="E128" s="231"/>
      <c r="F128" s="155"/>
      <c r="G128" s="231"/>
      <c r="H128" s="155"/>
      <c r="I128" s="155"/>
      <c r="J128" s="329"/>
    </row>
    <row r="129" spans="1:15" ht="21.75">
      <c r="A129" s="167"/>
      <c r="B129" s="251" t="s">
        <v>384</v>
      </c>
      <c r="C129" s="157">
        <v>2</v>
      </c>
      <c r="D129" s="167" t="s">
        <v>75</v>
      </c>
      <c r="E129" s="157">
        <v>0</v>
      </c>
      <c r="F129" s="157">
        <f>+C129*E129</f>
        <v>0</v>
      </c>
      <c r="G129" s="157">
        <v>400</v>
      </c>
      <c r="H129" s="157">
        <f>+G129*C129</f>
        <v>800</v>
      </c>
      <c r="I129" s="157">
        <f>+F129+H129</f>
        <v>800</v>
      </c>
      <c r="J129" s="329"/>
      <c r="O129" s="165"/>
    </row>
    <row r="130" spans="1:10" ht="21.75">
      <c r="A130" s="167"/>
      <c r="B130" s="251" t="s">
        <v>346</v>
      </c>
      <c r="C130" s="157">
        <v>6</v>
      </c>
      <c r="D130" s="167" t="s">
        <v>75</v>
      </c>
      <c r="E130" s="157">
        <v>0</v>
      </c>
      <c r="F130" s="157">
        <f>+C130*E130</f>
        <v>0</v>
      </c>
      <c r="G130" s="157">
        <v>300</v>
      </c>
      <c r="H130" s="157">
        <f>+G130*C130</f>
        <v>1800</v>
      </c>
      <c r="I130" s="157">
        <f>+F130+H130</f>
        <v>1800</v>
      </c>
      <c r="J130" s="329"/>
    </row>
    <row r="131" spans="1:10" ht="21.75">
      <c r="A131" s="167"/>
      <c r="B131" s="251" t="s">
        <v>347</v>
      </c>
      <c r="C131" s="157">
        <v>64</v>
      </c>
      <c r="D131" s="167" t="s">
        <v>93</v>
      </c>
      <c r="E131" s="157">
        <v>0</v>
      </c>
      <c r="F131" s="157">
        <f>+C131*E131</f>
        <v>0</v>
      </c>
      <c r="G131" s="157">
        <v>40</v>
      </c>
      <c r="H131" s="157">
        <f>+G131*C131</f>
        <v>2560</v>
      </c>
      <c r="I131" s="157">
        <f>+F131+H131</f>
        <v>2560</v>
      </c>
      <c r="J131" s="329"/>
    </row>
    <row r="132" spans="1:10" ht="21.75">
      <c r="A132" s="167"/>
      <c r="B132" s="251" t="s">
        <v>689</v>
      </c>
      <c r="C132" s="157">
        <v>196.7</v>
      </c>
      <c r="D132" s="167" t="s">
        <v>93</v>
      </c>
      <c r="E132" s="157">
        <v>0</v>
      </c>
      <c r="F132" s="157">
        <f>+C132*E132</f>
        <v>0</v>
      </c>
      <c r="G132" s="157">
        <v>25</v>
      </c>
      <c r="H132" s="157">
        <f>+G132*C132</f>
        <v>4917.5</v>
      </c>
      <c r="I132" s="157">
        <f>+F132+H132</f>
        <v>4917.5</v>
      </c>
      <c r="J132" s="329"/>
    </row>
    <row r="133" spans="1:10" ht="21.75">
      <c r="A133" s="235"/>
      <c r="B133" s="358" t="s">
        <v>250</v>
      </c>
      <c r="C133" s="155"/>
      <c r="D133" s="235"/>
      <c r="E133" s="155"/>
      <c r="F133" s="155"/>
      <c r="G133" s="155"/>
      <c r="H133" s="155"/>
      <c r="I133" s="155"/>
      <c r="J133" s="329"/>
    </row>
    <row r="134" spans="1:10" ht="21.75">
      <c r="A134" s="167"/>
      <c r="B134" s="358" t="s">
        <v>272</v>
      </c>
      <c r="C134" s="157"/>
      <c r="D134" s="167"/>
      <c r="E134" s="157"/>
      <c r="F134" s="157"/>
      <c r="G134" s="157"/>
      <c r="H134" s="157"/>
      <c r="I134" s="157"/>
      <c r="J134" s="329"/>
    </row>
    <row r="135" spans="1:10" ht="21.75">
      <c r="A135" s="167"/>
      <c r="B135" s="252" t="s">
        <v>317</v>
      </c>
      <c r="C135" s="157">
        <v>32</v>
      </c>
      <c r="D135" s="167" t="s">
        <v>93</v>
      </c>
      <c r="E135" s="157">
        <v>0</v>
      </c>
      <c r="F135" s="157">
        <f>+C135*E135</f>
        <v>0</v>
      </c>
      <c r="G135" s="157">
        <v>120</v>
      </c>
      <c r="H135" s="157">
        <f>+G135*C135</f>
        <v>3840</v>
      </c>
      <c r="I135" s="157">
        <f>+F135+H135</f>
        <v>3840</v>
      </c>
      <c r="J135" s="329"/>
    </row>
    <row r="136" spans="1:10" s="297" customFormat="1" ht="21.75">
      <c r="A136" s="167"/>
      <c r="B136" s="252" t="s">
        <v>520</v>
      </c>
      <c r="C136" s="156">
        <v>32</v>
      </c>
      <c r="D136" s="162" t="s">
        <v>93</v>
      </c>
      <c r="E136" s="156">
        <v>450</v>
      </c>
      <c r="F136" s="156">
        <f>+C136*E136</f>
        <v>14400</v>
      </c>
      <c r="G136" s="156">
        <v>222</v>
      </c>
      <c r="H136" s="156">
        <f>+G136*C136</f>
        <v>7104</v>
      </c>
      <c r="I136" s="156">
        <f>+F136+H136</f>
        <v>21504</v>
      </c>
      <c r="J136" s="329"/>
    </row>
    <row r="137" spans="1:10" s="297" customFormat="1" ht="21.75">
      <c r="A137" s="167"/>
      <c r="B137" s="251" t="s">
        <v>567</v>
      </c>
      <c r="C137" s="156">
        <v>86.45</v>
      </c>
      <c r="D137" s="162" t="s">
        <v>181</v>
      </c>
      <c r="E137" s="156">
        <v>35</v>
      </c>
      <c r="F137" s="156">
        <f>+C137*E137</f>
        <v>3025.75</v>
      </c>
      <c r="G137" s="156">
        <v>25</v>
      </c>
      <c r="H137" s="156">
        <f>+G137*C137</f>
        <v>2161.25</v>
      </c>
      <c r="I137" s="156">
        <f>+F137+H137</f>
        <v>5187</v>
      </c>
      <c r="J137" s="329"/>
    </row>
    <row r="138" spans="1:10" ht="21.75">
      <c r="A138" s="167"/>
      <c r="B138" s="358" t="s">
        <v>258</v>
      </c>
      <c r="C138" s="157"/>
      <c r="D138" s="167"/>
      <c r="E138" s="157"/>
      <c r="F138" s="157"/>
      <c r="G138" s="157"/>
      <c r="H138" s="157"/>
      <c r="I138" s="157"/>
      <c r="J138" s="329"/>
    </row>
    <row r="139" spans="1:10" ht="21.75" customHeight="1">
      <c r="A139" s="167"/>
      <c r="B139" s="361" t="s">
        <v>358</v>
      </c>
      <c r="C139" s="156">
        <v>69.5</v>
      </c>
      <c r="D139" s="162" t="s">
        <v>93</v>
      </c>
      <c r="E139" s="156">
        <v>132</v>
      </c>
      <c r="F139" s="156">
        <f>+C139*E139</f>
        <v>9174</v>
      </c>
      <c r="G139" s="156">
        <v>69</v>
      </c>
      <c r="H139" s="156">
        <f>+G139*C139</f>
        <v>4795.5</v>
      </c>
      <c r="I139" s="156">
        <f>+F139+H139</f>
        <v>13969.5</v>
      </c>
      <c r="J139" s="329"/>
    </row>
    <row r="140" spans="1:10" s="297" customFormat="1" ht="21.75">
      <c r="A140" s="167"/>
      <c r="B140" s="361" t="s">
        <v>525</v>
      </c>
      <c r="C140" s="156">
        <v>62.55</v>
      </c>
      <c r="D140" s="162" t="s">
        <v>93</v>
      </c>
      <c r="E140" s="156">
        <v>470</v>
      </c>
      <c r="F140" s="156">
        <f>+C140*E140</f>
        <v>29398.5</v>
      </c>
      <c r="G140" s="156">
        <v>190</v>
      </c>
      <c r="H140" s="156">
        <f>+G140*C140</f>
        <v>11884.5</v>
      </c>
      <c r="I140" s="156">
        <f>+F140+H140</f>
        <v>41283</v>
      </c>
      <c r="J140" s="329"/>
    </row>
    <row r="141" spans="1:10" ht="21.75">
      <c r="A141" s="167"/>
      <c r="B141" s="251" t="s">
        <v>310</v>
      </c>
      <c r="C141" s="157">
        <v>139.05</v>
      </c>
      <c r="D141" s="167" t="s">
        <v>93</v>
      </c>
      <c r="E141" s="157">
        <v>75</v>
      </c>
      <c r="F141" s="157">
        <f>+C141*E141</f>
        <v>10428.75</v>
      </c>
      <c r="G141" s="157">
        <v>87</v>
      </c>
      <c r="H141" s="157">
        <f>+G141*C141</f>
        <v>12097.35</v>
      </c>
      <c r="I141" s="157">
        <f>+F141+H141</f>
        <v>22526.1</v>
      </c>
      <c r="J141" s="329"/>
    </row>
    <row r="142" spans="1:10" ht="21.75">
      <c r="A142" s="332"/>
      <c r="B142" s="259" t="s">
        <v>430</v>
      </c>
      <c r="C142" s="163">
        <v>31</v>
      </c>
      <c r="D142" s="332" t="s">
        <v>93</v>
      </c>
      <c r="E142" s="163">
        <v>70</v>
      </c>
      <c r="F142" s="163">
        <f>+C142*E142</f>
        <v>2170</v>
      </c>
      <c r="G142" s="163">
        <v>40</v>
      </c>
      <c r="H142" s="163">
        <f>+G142*C142</f>
        <v>1240</v>
      </c>
      <c r="I142" s="163">
        <f>+F142+H142</f>
        <v>3410</v>
      </c>
      <c r="J142" s="329"/>
    </row>
    <row r="143" spans="1:10" s="297" customFormat="1" ht="21.75">
      <c r="A143" s="363"/>
      <c r="B143" s="364" t="s">
        <v>537</v>
      </c>
      <c r="C143" s="239">
        <v>61.45</v>
      </c>
      <c r="D143" s="363" t="s">
        <v>93</v>
      </c>
      <c r="E143" s="239">
        <v>30</v>
      </c>
      <c r="F143" s="239">
        <f>+C143*E143</f>
        <v>1843.5</v>
      </c>
      <c r="G143" s="239">
        <v>25</v>
      </c>
      <c r="H143" s="239">
        <f>+G143*C143</f>
        <v>1536.25</v>
      </c>
      <c r="I143" s="239">
        <f>+F143+H143</f>
        <v>3379.75</v>
      </c>
      <c r="J143" s="329"/>
    </row>
    <row r="144" spans="1:10" ht="21.75">
      <c r="A144" s="167"/>
      <c r="B144" s="358" t="s">
        <v>269</v>
      </c>
      <c r="C144" s="157"/>
      <c r="D144" s="167"/>
      <c r="E144" s="157"/>
      <c r="F144" s="157"/>
      <c r="G144" s="157"/>
      <c r="H144" s="157"/>
      <c r="I144" s="157"/>
      <c r="J144" s="329"/>
    </row>
    <row r="145" spans="1:10" ht="43.5">
      <c r="A145" s="167"/>
      <c r="B145" s="361" t="s">
        <v>429</v>
      </c>
      <c r="C145" s="156">
        <v>164.7</v>
      </c>
      <c r="D145" s="162" t="s">
        <v>93</v>
      </c>
      <c r="E145" s="156">
        <v>280</v>
      </c>
      <c r="F145" s="156">
        <f>+C145*E145</f>
        <v>46116</v>
      </c>
      <c r="G145" s="156">
        <v>75</v>
      </c>
      <c r="H145" s="156">
        <f>+G145*C145</f>
        <v>12352.5</v>
      </c>
      <c r="I145" s="156">
        <f>+F145+H145</f>
        <v>58468.5</v>
      </c>
      <c r="J145" s="329"/>
    </row>
    <row r="146" spans="1:10" ht="43.5" customHeight="1">
      <c r="A146" s="167"/>
      <c r="B146" s="361" t="s">
        <v>428</v>
      </c>
      <c r="C146" s="156">
        <v>32</v>
      </c>
      <c r="D146" s="162" t="s">
        <v>93</v>
      </c>
      <c r="E146" s="156">
        <v>320</v>
      </c>
      <c r="F146" s="156">
        <f>+C146*E146</f>
        <v>10240</v>
      </c>
      <c r="G146" s="156">
        <v>75</v>
      </c>
      <c r="H146" s="156">
        <f>+G146*C146</f>
        <v>2400</v>
      </c>
      <c r="I146" s="156">
        <f>+F146+H146</f>
        <v>12640</v>
      </c>
      <c r="J146" s="329"/>
    </row>
    <row r="147" spans="1:10" ht="21.75">
      <c r="A147" s="167"/>
      <c r="B147" s="358" t="s">
        <v>265</v>
      </c>
      <c r="C147" s="157"/>
      <c r="D147" s="167"/>
      <c r="E147" s="157"/>
      <c r="F147" s="157"/>
      <c r="G147" s="157"/>
      <c r="H147" s="157"/>
      <c r="I147" s="157"/>
      <c r="J147" s="329"/>
    </row>
    <row r="148" spans="1:10" ht="21.75">
      <c r="A148" s="167"/>
      <c r="B148" s="251" t="s">
        <v>355</v>
      </c>
      <c r="C148" s="157">
        <v>1</v>
      </c>
      <c r="D148" s="167" t="s">
        <v>75</v>
      </c>
      <c r="E148" s="157">
        <v>9500</v>
      </c>
      <c r="F148" s="157">
        <f>+C148*E148</f>
        <v>9500</v>
      </c>
      <c r="G148" s="157">
        <v>1450</v>
      </c>
      <c r="H148" s="157">
        <f>+G148*C148</f>
        <v>1450</v>
      </c>
      <c r="I148" s="157">
        <f>+F148+H148</f>
        <v>10950</v>
      </c>
      <c r="J148" s="329"/>
    </row>
    <row r="149" spans="1:10" ht="21.75">
      <c r="A149" s="167"/>
      <c r="B149" s="251" t="s">
        <v>319</v>
      </c>
      <c r="C149" s="157">
        <v>1</v>
      </c>
      <c r="D149" s="167" t="s">
        <v>75</v>
      </c>
      <c r="E149" s="157">
        <v>7500</v>
      </c>
      <c r="F149" s="157">
        <f>+C149*E149</f>
        <v>7500</v>
      </c>
      <c r="G149" s="157">
        <v>1100</v>
      </c>
      <c r="H149" s="157">
        <f>+G149*C149</f>
        <v>1100</v>
      </c>
      <c r="I149" s="157">
        <f>+F149+H149</f>
        <v>8600</v>
      </c>
      <c r="J149" s="329"/>
    </row>
    <row r="150" spans="1:10" ht="21.75">
      <c r="A150" s="167"/>
      <c r="B150" s="251" t="s">
        <v>356</v>
      </c>
      <c r="C150" s="157">
        <v>1</v>
      </c>
      <c r="D150" s="167" t="s">
        <v>75</v>
      </c>
      <c r="E150" s="157">
        <v>5500</v>
      </c>
      <c r="F150" s="157">
        <f>+C150*E150</f>
        <v>5500</v>
      </c>
      <c r="G150" s="157">
        <v>2500</v>
      </c>
      <c r="H150" s="157">
        <f>+G150*C150</f>
        <v>2500</v>
      </c>
      <c r="I150" s="157">
        <f>+F150+H150</f>
        <v>8000</v>
      </c>
      <c r="J150" s="329"/>
    </row>
    <row r="151" spans="1:10" ht="21.75">
      <c r="A151" s="167"/>
      <c r="B151" s="251" t="s">
        <v>431</v>
      </c>
      <c r="C151" s="157">
        <v>1</v>
      </c>
      <c r="D151" s="167" t="s">
        <v>75</v>
      </c>
      <c r="E151" s="157">
        <v>3000</v>
      </c>
      <c r="F151" s="157">
        <f>+C151*E151</f>
        <v>3000</v>
      </c>
      <c r="G151" s="157">
        <v>250</v>
      </c>
      <c r="H151" s="157">
        <f>+G151*C151</f>
        <v>250</v>
      </c>
      <c r="I151" s="157">
        <f>+F151+H151</f>
        <v>3250</v>
      </c>
      <c r="J151" s="329"/>
    </row>
    <row r="152" spans="1:10" ht="21.75">
      <c r="A152" s="167"/>
      <c r="B152" s="251" t="s">
        <v>514</v>
      </c>
      <c r="C152" s="157">
        <v>1</v>
      </c>
      <c r="D152" s="167" t="s">
        <v>75</v>
      </c>
      <c r="E152" s="157">
        <v>250</v>
      </c>
      <c r="F152" s="157">
        <f>+C152*E152</f>
        <v>250</v>
      </c>
      <c r="G152" s="157">
        <v>150</v>
      </c>
      <c r="H152" s="157">
        <f>+G152*C152</f>
        <v>150</v>
      </c>
      <c r="I152" s="157">
        <f>+F152+H152</f>
        <v>400</v>
      </c>
      <c r="J152" s="329"/>
    </row>
    <row r="153" spans="1:10" ht="21.75">
      <c r="A153" s="167"/>
      <c r="B153" s="358" t="s">
        <v>266</v>
      </c>
      <c r="C153" s="157"/>
      <c r="D153" s="167"/>
      <c r="E153" s="157"/>
      <c r="F153" s="157"/>
      <c r="G153" s="157"/>
      <c r="H153" s="157"/>
      <c r="I153" s="157"/>
      <c r="J153" s="329"/>
    </row>
    <row r="154" spans="1:10" s="292" customFormat="1" ht="21.75">
      <c r="A154" s="167"/>
      <c r="B154" s="365" t="s">
        <v>561</v>
      </c>
      <c r="C154" s="156">
        <v>146.77</v>
      </c>
      <c r="D154" s="162" t="s">
        <v>93</v>
      </c>
      <c r="E154" s="156">
        <v>80</v>
      </c>
      <c r="F154" s="156">
        <f>+C154*E154</f>
        <v>11741.6</v>
      </c>
      <c r="G154" s="156">
        <v>30</v>
      </c>
      <c r="H154" s="156">
        <f>+G154*C154</f>
        <v>4403.1</v>
      </c>
      <c r="I154" s="156">
        <f>+F154+H154</f>
        <v>16144.7</v>
      </c>
      <c r="J154" s="329"/>
    </row>
    <row r="155" spans="1:10" s="292" customFormat="1" ht="21.75">
      <c r="A155" s="167"/>
      <c r="B155" s="365" t="s">
        <v>511</v>
      </c>
      <c r="C155" s="157">
        <v>196.7</v>
      </c>
      <c r="D155" s="167" t="s">
        <v>93</v>
      </c>
      <c r="E155" s="157">
        <v>45</v>
      </c>
      <c r="F155" s="157">
        <f>+C155*E155</f>
        <v>8851.5</v>
      </c>
      <c r="G155" s="157">
        <v>30</v>
      </c>
      <c r="H155" s="157">
        <f>+G155*C155</f>
        <v>5901</v>
      </c>
      <c r="I155" s="157">
        <f>+F155+H155</f>
        <v>14752.5</v>
      </c>
      <c r="J155" s="329"/>
    </row>
    <row r="156" spans="1:10" ht="21.75">
      <c r="A156" s="167"/>
      <c r="B156" s="358" t="s">
        <v>273</v>
      </c>
      <c r="C156" s="157"/>
      <c r="D156" s="167"/>
      <c r="E156" s="157"/>
      <c r="F156" s="157"/>
      <c r="G156" s="157"/>
      <c r="H156" s="157"/>
      <c r="I156" s="157"/>
      <c r="J156" s="329"/>
    </row>
    <row r="157" spans="1:10" ht="21.75">
      <c r="A157" s="332"/>
      <c r="B157" s="259" t="s">
        <v>312</v>
      </c>
      <c r="C157" s="163">
        <v>3</v>
      </c>
      <c r="D157" s="332" t="s">
        <v>75</v>
      </c>
      <c r="E157" s="163">
        <v>4900</v>
      </c>
      <c r="F157" s="163">
        <f aca="true" t="shared" si="9" ref="F157:F163">+C157*E157</f>
        <v>14700</v>
      </c>
      <c r="G157" s="163">
        <v>450</v>
      </c>
      <c r="H157" s="163">
        <f aca="true" t="shared" si="10" ref="H157:H163">+G157*C157</f>
        <v>1350</v>
      </c>
      <c r="I157" s="163">
        <f aca="true" t="shared" si="11" ref="I157:I163">+F157+H157</f>
        <v>16050</v>
      </c>
      <c r="J157" s="329"/>
    </row>
    <row r="158" spans="1:10" ht="21.75">
      <c r="A158" s="363"/>
      <c r="B158" s="364" t="s">
        <v>608</v>
      </c>
      <c r="C158" s="239">
        <v>3</v>
      </c>
      <c r="D158" s="363" t="s">
        <v>75</v>
      </c>
      <c r="E158" s="239">
        <v>650</v>
      </c>
      <c r="F158" s="239">
        <f t="shared" si="9"/>
        <v>1950</v>
      </c>
      <c r="G158" s="239">
        <v>70</v>
      </c>
      <c r="H158" s="239">
        <f t="shared" si="10"/>
        <v>210</v>
      </c>
      <c r="I158" s="239">
        <f t="shared" si="11"/>
        <v>2160</v>
      </c>
      <c r="J158" s="329"/>
    </row>
    <row r="159" spans="1:10" ht="41.25" customHeight="1">
      <c r="A159" s="167"/>
      <c r="B159" s="361" t="s">
        <v>432</v>
      </c>
      <c r="C159" s="156">
        <v>4</v>
      </c>
      <c r="D159" s="162" t="s">
        <v>75</v>
      </c>
      <c r="E159" s="156">
        <v>3800</v>
      </c>
      <c r="F159" s="156">
        <f t="shared" si="9"/>
        <v>15200</v>
      </c>
      <c r="G159" s="156">
        <v>450</v>
      </c>
      <c r="H159" s="156">
        <f t="shared" si="10"/>
        <v>1800</v>
      </c>
      <c r="I159" s="156">
        <f t="shared" si="11"/>
        <v>17000</v>
      </c>
      <c r="J159" s="329"/>
    </row>
    <row r="160" spans="1:10" ht="41.25" customHeight="1">
      <c r="A160" s="167"/>
      <c r="B160" s="361" t="s">
        <v>322</v>
      </c>
      <c r="C160" s="156">
        <v>2</v>
      </c>
      <c r="D160" s="162" t="s">
        <v>75</v>
      </c>
      <c r="E160" s="156">
        <v>3000</v>
      </c>
      <c r="F160" s="156">
        <f t="shared" si="9"/>
        <v>6000</v>
      </c>
      <c r="G160" s="156">
        <v>170</v>
      </c>
      <c r="H160" s="156">
        <f t="shared" si="10"/>
        <v>340</v>
      </c>
      <c r="I160" s="156">
        <f t="shared" si="11"/>
        <v>6340</v>
      </c>
      <c r="J160" s="329"/>
    </row>
    <row r="161" spans="1:10" ht="21.75" customHeight="1">
      <c r="A161" s="167"/>
      <c r="B161" s="361" t="s">
        <v>610</v>
      </c>
      <c r="C161" s="156">
        <v>1</v>
      </c>
      <c r="D161" s="162" t="s">
        <v>75</v>
      </c>
      <c r="E161" s="156">
        <v>600</v>
      </c>
      <c r="F161" s="156">
        <f>+C161*E161</f>
        <v>600</v>
      </c>
      <c r="G161" s="156">
        <v>70</v>
      </c>
      <c r="H161" s="156">
        <f>+G161*C161</f>
        <v>70</v>
      </c>
      <c r="I161" s="156">
        <f>+F161+H161</f>
        <v>670</v>
      </c>
      <c r="J161" s="329"/>
    </row>
    <row r="162" spans="1:12" s="297" customFormat="1" ht="21.75">
      <c r="A162" s="167"/>
      <c r="B162" s="251" t="s">
        <v>636</v>
      </c>
      <c r="C162" s="157">
        <v>3</v>
      </c>
      <c r="D162" s="167" t="s">
        <v>75</v>
      </c>
      <c r="E162" s="157">
        <v>22000</v>
      </c>
      <c r="F162" s="157">
        <f t="shared" si="9"/>
        <v>66000</v>
      </c>
      <c r="G162" s="157">
        <v>900</v>
      </c>
      <c r="H162" s="157">
        <f t="shared" si="10"/>
        <v>2700</v>
      </c>
      <c r="I162" s="157">
        <f t="shared" si="11"/>
        <v>68700</v>
      </c>
      <c r="J162" s="329"/>
      <c r="L162" s="297" t="s">
        <v>77</v>
      </c>
    </row>
    <row r="163" spans="1:11" s="297" customFormat="1" ht="43.5">
      <c r="A163" s="167"/>
      <c r="B163" s="365" t="s">
        <v>637</v>
      </c>
      <c r="C163" s="156">
        <v>2</v>
      </c>
      <c r="D163" s="162" t="s">
        <v>75</v>
      </c>
      <c r="E163" s="156">
        <v>15000</v>
      </c>
      <c r="F163" s="156">
        <f t="shared" si="9"/>
        <v>30000</v>
      </c>
      <c r="G163" s="156">
        <v>900</v>
      </c>
      <c r="H163" s="156">
        <f t="shared" si="10"/>
        <v>1800</v>
      </c>
      <c r="I163" s="156">
        <f t="shared" si="11"/>
        <v>31800</v>
      </c>
      <c r="J163" s="329"/>
      <c r="K163" s="296"/>
    </row>
    <row r="164" spans="1:11" ht="21.75">
      <c r="A164" s="167"/>
      <c r="B164" s="251" t="s">
        <v>605</v>
      </c>
      <c r="C164" s="157">
        <v>2</v>
      </c>
      <c r="D164" s="167" t="s">
        <v>75</v>
      </c>
      <c r="E164" s="157">
        <v>2100</v>
      </c>
      <c r="F164" s="157">
        <f aca="true" t="shared" si="12" ref="F164:F171">+C164*E164</f>
        <v>4200</v>
      </c>
      <c r="G164" s="157">
        <v>75</v>
      </c>
      <c r="H164" s="157">
        <f aca="true" t="shared" si="13" ref="H164:H171">+G164*C164</f>
        <v>150</v>
      </c>
      <c r="I164" s="157">
        <f aca="true" t="shared" si="14" ref="I164:I171">+F164+H164</f>
        <v>4350</v>
      </c>
      <c r="J164" s="329"/>
      <c r="K164" s="91"/>
    </row>
    <row r="165" spans="1:11" ht="21.75">
      <c r="A165" s="167"/>
      <c r="B165" s="251" t="s">
        <v>606</v>
      </c>
      <c r="C165" s="157">
        <v>1</v>
      </c>
      <c r="D165" s="167" t="s">
        <v>75</v>
      </c>
      <c r="E165" s="157">
        <v>450</v>
      </c>
      <c r="F165" s="157">
        <f t="shared" si="12"/>
        <v>450</v>
      </c>
      <c r="G165" s="157">
        <v>75</v>
      </c>
      <c r="H165" s="157">
        <f t="shared" si="13"/>
        <v>75</v>
      </c>
      <c r="I165" s="157">
        <f t="shared" si="14"/>
        <v>525</v>
      </c>
      <c r="J165" s="329"/>
      <c r="K165" s="91"/>
    </row>
    <row r="166" spans="1:20" ht="21.75">
      <c r="A166" s="167"/>
      <c r="B166" s="251" t="s">
        <v>579</v>
      </c>
      <c r="C166" s="157">
        <v>1</v>
      </c>
      <c r="D166" s="167" t="s">
        <v>75</v>
      </c>
      <c r="E166" s="157">
        <v>2450</v>
      </c>
      <c r="F166" s="157">
        <f t="shared" si="12"/>
        <v>2450</v>
      </c>
      <c r="G166" s="157">
        <v>0</v>
      </c>
      <c r="H166" s="157">
        <f t="shared" si="13"/>
        <v>0</v>
      </c>
      <c r="I166" s="157">
        <f t="shared" si="14"/>
        <v>2450</v>
      </c>
      <c r="J166" s="330"/>
      <c r="K166" s="91"/>
      <c r="L166" s="91"/>
      <c r="M166" s="171"/>
      <c r="N166" s="210"/>
      <c r="O166" s="211"/>
      <c r="P166" s="210"/>
      <c r="Q166" s="210"/>
      <c r="R166" s="210"/>
      <c r="S166" s="210"/>
      <c r="T166" s="210"/>
    </row>
    <row r="167" spans="1:11" ht="21.75">
      <c r="A167" s="167"/>
      <c r="B167" s="251" t="s">
        <v>323</v>
      </c>
      <c r="C167" s="157">
        <v>1</v>
      </c>
      <c r="D167" s="167" t="s">
        <v>75</v>
      </c>
      <c r="E167" s="157">
        <v>150</v>
      </c>
      <c r="F167" s="157">
        <f t="shared" si="12"/>
        <v>150</v>
      </c>
      <c r="G167" s="157">
        <v>75</v>
      </c>
      <c r="H167" s="157">
        <f t="shared" si="13"/>
        <v>75</v>
      </c>
      <c r="I167" s="157">
        <f t="shared" si="14"/>
        <v>225</v>
      </c>
      <c r="J167" s="329"/>
      <c r="K167" s="91"/>
    </row>
    <row r="168" spans="1:11" ht="21.75">
      <c r="A168" s="167"/>
      <c r="B168" s="251" t="s">
        <v>450</v>
      </c>
      <c r="C168" s="157">
        <v>3.73</v>
      </c>
      <c r="D168" s="167" t="s">
        <v>93</v>
      </c>
      <c r="E168" s="157">
        <v>6500</v>
      </c>
      <c r="F168" s="157">
        <f t="shared" si="12"/>
        <v>24245</v>
      </c>
      <c r="G168" s="157">
        <v>0</v>
      </c>
      <c r="H168" s="157">
        <f t="shared" si="13"/>
        <v>0</v>
      </c>
      <c r="I168" s="157">
        <f t="shared" si="14"/>
        <v>24245</v>
      </c>
      <c r="J168" s="329"/>
      <c r="K168" s="91"/>
    </row>
    <row r="169" spans="1:11" ht="40.5" customHeight="1">
      <c r="A169" s="167"/>
      <c r="B169" s="365" t="s">
        <v>454</v>
      </c>
      <c r="C169" s="156">
        <v>7.4</v>
      </c>
      <c r="D169" s="162" t="s">
        <v>93</v>
      </c>
      <c r="E169" s="156">
        <v>1450</v>
      </c>
      <c r="F169" s="156">
        <f t="shared" si="12"/>
        <v>10730</v>
      </c>
      <c r="G169" s="156">
        <v>0</v>
      </c>
      <c r="H169" s="156">
        <f t="shared" si="13"/>
        <v>0</v>
      </c>
      <c r="I169" s="156">
        <f t="shared" si="14"/>
        <v>10730</v>
      </c>
      <c r="J169" s="329"/>
      <c r="K169" s="91"/>
    </row>
    <row r="170" spans="1:10" ht="21.75" customHeight="1">
      <c r="A170" s="167"/>
      <c r="B170" s="251" t="s">
        <v>357</v>
      </c>
      <c r="C170" s="157">
        <v>10</v>
      </c>
      <c r="D170" s="167" t="s">
        <v>75</v>
      </c>
      <c r="E170" s="157">
        <v>2200</v>
      </c>
      <c r="F170" s="157">
        <f t="shared" si="12"/>
        <v>22000</v>
      </c>
      <c r="G170" s="157">
        <v>70</v>
      </c>
      <c r="H170" s="157">
        <f t="shared" si="13"/>
        <v>700</v>
      </c>
      <c r="I170" s="157">
        <f t="shared" si="14"/>
        <v>22700</v>
      </c>
      <c r="J170" s="329"/>
    </row>
    <row r="171" spans="1:10" ht="21.75" customHeight="1">
      <c r="A171" s="332"/>
      <c r="B171" s="259" t="s">
        <v>433</v>
      </c>
      <c r="C171" s="163">
        <v>2</v>
      </c>
      <c r="D171" s="332" t="s">
        <v>75</v>
      </c>
      <c r="E171" s="163">
        <v>1600</v>
      </c>
      <c r="F171" s="163">
        <f t="shared" si="12"/>
        <v>3200</v>
      </c>
      <c r="G171" s="163">
        <v>70</v>
      </c>
      <c r="H171" s="163">
        <f t="shared" si="13"/>
        <v>140</v>
      </c>
      <c r="I171" s="163">
        <f t="shared" si="14"/>
        <v>3340</v>
      </c>
      <c r="J171" s="329"/>
    </row>
    <row r="172" spans="1:10" ht="21.75" customHeight="1">
      <c r="A172" s="363"/>
      <c r="B172" s="354" t="s">
        <v>434</v>
      </c>
      <c r="C172" s="239"/>
      <c r="D172" s="363"/>
      <c r="E172" s="239"/>
      <c r="F172" s="239"/>
      <c r="G172" s="239"/>
      <c r="H172" s="239"/>
      <c r="I172" s="239"/>
      <c r="J172" s="329"/>
    </row>
    <row r="173" spans="1:10" s="297" customFormat="1" ht="63" customHeight="1">
      <c r="A173" s="167"/>
      <c r="B173" s="361" t="s">
        <v>532</v>
      </c>
      <c r="C173" s="156">
        <v>29.4</v>
      </c>
      <c r="D173" s="162" t="s">
        <v>93</v>
      </c>
      <c r="E173" s="156">
        <v>595</v>
      </c>
      <c r="F173" s="156">
        <f>+C173*E173</f>
        <v>17493</v>
      </c>
      <c r="G173" s="156">
        <v>130</v>
      </c>
      <c r="H173" s="156">
        <f>+G173*C173</f>
        <v>3822</v>
      </c>
      <c r="I173" s="156">
        <f>+F173+H173</f>
        <v>21315</v>
      </c>
      <c r="J173" s="329"/>
    </row>
    <row r="174" spans="1:10" ht="21.75" customHeight="1">
      <c r="A174" s="167"/>
      <c r="B174" s="251" t="s">
        <v>529</v>
      </c>
      <c r="C174" s="157">
        <v>1</v>
      </c>
      <c r="D174" s="167" t="s">
        <v>75</v>
      </c>
      <c r="E174" s="157">
        <v>57000</v>
      </c>
      <c r="F174" s="157">
        <f>+C174*E174</f>
        <v>57000</v>
      </c>
      <c r="G174" s="157">
        <v>0</v>
      </c>
      <c r="H174" s="157">
        <f>+G174*C174</f>
        <v>0</v>
      </c>
      <c r="I174" s="157">
        <f>+F174+H174</f>
        <v>57000</v>
      </c>
      <c r="J174" s="439"/>
    </row>
    <row r="175" spans="1:10" ht="21.75" customHeight="1">
      <c r="A175" s="235"/>
      <c r="B175" s="371" t="s">
        <v>435</v>
      </c>
      <c r="C175" s="231"/>
      <c r="D175" s="231"/>
      <c r="E175" s="231"/>
      <c r="F175" s="228">
        <f>SUM(F129:F174)</f>
        <v>449507.6</v>
      </c>
      <c r="G175" s="372"/>
      <c r="H175" s="228">
        <f>SUM(H129:H174)</f>
        <v>98474.95000000001</v>
      </c>
      <c r="I175" s="228">
        <f>SUM(I129:I174)</f>
        <v>547982.55</v>
      </c>
      <c r="J175" s="329"/>
    </row>
    <row r="176" spans="1:10" ht="41.25" customHeight="1">
      <c r="A176" s="324">
        <v>1.07</v>
      </c>
      <c r="B176" s="367" t="s">
        <v>326</v>
      </c>
      <c r="C176" s="231"/>
      <c r="D176" s="231"/>
      <c r="E176" s="231"/>
      <c r="F176" s="155"/>
      <c r="G176" s="231"/>
      <c r="H176" s="155"/>
      <c r="I176" s="155"/>
      <c r="J176" s="329"/>
    </row>
    <row r="177" spans="1:10" ht="21.75">
      <c r="A177" s="235"/>
      <c r="B177" s="358" t="s">
        <v>92</v>
      </c>
      <c r="C177" s="231"/>
      <c r="D177" s="231"/>
      <c r="E177" s="231"/>
      <c r="F177" s="155"/>
      <c r="G177" s="231"/>
      <c r="H177" s="155"/>
      <c r="I177" s="155"/>
      <c r="J177" s="329"/>
    </row>
    <row r="178" spans="1:10" ht="21.75">
      <c r="A178" s="167"/>
      <c r="B178" s="251" t="s">
        <v>384</v>
      </c>
      <c r="C178" s="157">
        <v>4</v>
      </c>
      <c r="D178" s="167" t="s">
        <v>75</v>
      </c>
      <c r="E178" s="157">
        <v>0</v>
      </c>
      <c r="F178" s="157">
        <f>+C178*E178</f>
        <v>0</v>
      </c>
      <c r="G178" s="157">
        <v>400</v>
      </c>
      <c r="H178" s="157">
        <f>+G178*C178</f>
        <v>1600</v>
      </c>
      <c r="I178" s="157">
        <f>+F178+H178</f>
        <v>1600</v>
      </c>
      <c r="J178" s="329"/>
    </row>
    <row r="179" spans="1:10" ht="21.75">
      <c r="A179" s="167"/>
      <c r="B179" s="251" t="s">
        <v>302</v>
      </c>
      <c r="C179" s="157">
        <v>4</v>
      </c>
      <c r="D179" s="167" t="s">
        <v>75</v>
      </c>
      <c r="E179" s="157">
        <v>0</v>
      </c>
      <c r="F179" s="157">
        <f>+C179*E179</f>
        <v>0</v>
      </c>
      <c r="G179" s="157">
        <v>300</v>
      </c>
      <c r="H179" s="157">
        <f>+G179*C179</f>
        <v>1200</v>
      </c>
      <c r="I179" s="157">
        <f>+F179+H179</f>
        <v>1200</v>
      </c>
      <c r="J179" s="329"/>
    </row>
    <row r="180" spans="1:10" ht="21.75">
      <c r="A180" s="167"/>
      <c r="B180" s="251" t="s">
        <v>298</v>
      </c>
      <c r="C180" s="157">
        <v>128</v>
      </c>
      <c r="D180" s="167" t="s">
        <v>93</v>
      </c>
      <c r="E180" s="157">
        <v>0</v>
      </c>
      <c r="F180" s="157">
        <f>+C180*E180</f>
        <v>0</v>
      </c>
      <c r="G180" s="157">
        <v>25</v>
      </c>
      <c r="H180" s="157">
        <f>+G180*C180</f>
        <v>3200</v>
      </c>
      <c r="I180" s="157">
        <f>+F180+H180</f>
        <v>3200</v>
      </c>
      <c r="J180" s="329"/>
    </row>
    <row r="181" spans="1:10" ht="21.75">
      <c r="A181" s="235"/>
      <c r="B181" s="358" t="s">
        <v>250</v>
      </c>
      <c r="C181" s="155"/>
      <c r="D181" s="235"/>
      <c r="E181" s="155"/>
      <c r="F181" s="155"/>
      <c r="G181" s="155"/>
      <c r="H181" s="155"/>
      <c r="I181" s="155"/>
      <c r="J181" s="329"/>
    </row>
    <row r="182" spans="1:10" ht="21.75">
      <c r="A182" s="167"/>
      <c r="B182" s="358" t="s">
        <v>259</v>
      </c>
      <c r="C182" s="157"/>
      <c r="D182" s="167"/>
      <c r="E182" s="157"/>
      <c r="F182" s="157"/>
      <c r="G182" s="157"/>
      <c r="H182" s="157"/>
      <c r="I182" s="157"/>
      <c r="J182" s="329"/>
    </row>
    <row r="183" spans="1:10" ht="21.75">
      <c r="A183" s="167"/>
      <c r="B183" s="252" t="s">
        <v>317</v>
      </c>
      <c r="C183" s="157">
        <v>27.2</v>
      </c>
      <c r="D183" s="167" t="s">
        <v>93</v>
      </c>
      <c r="E183" s="157">
        <v>0</v>
      </c>
      <c r="F183" s="157">
        <f>+C183*E183</f>
        <v>0</v>
      </c>
      <c r="G183" s="157">
        <v>120</v>
      </c>
      <c r="H183" s="157">
        <f>+G183*C183</f>
        <v>3264</v>
      </c>
      <c r="I183" s="157">
        <f>+F183+H183</f>
        <v>3264</v>
      </c>
      <c r="J183" s="329"/>
    </row>
    <row r="184" spans="1:10" s="297" customFormat="1" ht="21.75">
      <c r="A184" s="167"/>
      <c r="B184" s="252" t="s">
        <v>520</v>
      </c>
      <c r="C184" s="156">
        <v>27.2</v>
      </c>
      <c r="D184" s="162" t="s">
        <v>93</v>
      </c>
      <c r="E184" s="156">
        <v>450</v>
      </c>
      <c r="F184" s="156">
        <f>+C184*E184</f>
        <v>12240</v>
      </c>
      <c r="G184" s="156">
        <v>222</v>
      </c>
      <c r="H184" s="156">
        <f>+G184*C184</f>
        <v>6038.4</v>
      </c>
      <c r="I184" s="156">
        <f>+F184+H184</f>
        <v>18278.4</v>
      </c>
      <c r="J184" s="329"/>
    </row>
    <row r="185" spans="1:10" ht="21.75">
      <c r="A185" s="332"/>
      <c r="B185" s="368" t="s">
        <v>258</v>
      </c>
      <c r="C185" s="163"/>
      <c r="D185" s="332"/>
      <c r="E185" s="163"/>
      <c r="F185" s="163"/>
      <c r="G185" s="163"/>
      <c r="H185" s="163"/>
      <c r="I185" s="163"/>
      <c r="J185" s="329"/>
    </row>
    <row r="186" spans="1:10" ht="42" customHeight="1">
      <c r="A186" s="363"/>
      <c r="B186" s="381" t="s">
        <v>358</v>
      </c>
      <c r="C186" s="234">
        <v>230.6</v>
      </c>
      <c r="D186" s="256" t="s">
        <v>93</v>
      </c>
      <c r="E186" s="234">
        <v>273</v>
      </c>
      <c r="F186" s="234">
        <f>+C186*E186</f>
        <v>62953.799999999996</v>
      </c>
      <c r="G186" s="234">
        <v>69</v>
      </c>
      <c r="H186" s="234">
        <f>+G186*C186</f>
        <v>15911.4</v>
      </c>
      <c r="I186" s="234">
        <f>+F186+H186</f>
        <v>78865.2</v>
      </c>
      <c r="J186" s="329"/>
    </row>
    <row r="187" spans="1:10" s="297" customFormat="1" ht="21.75">
      <c r="A187" s="167"/>
      <c r="B187" s="361" t="s">
        <v>525</v>
      </c>
      <c r="C187" s="157">
        <v>108.4</v>
      </c>
      <c r="D187" s="167" t="s">
        <v>93</v>
      </c>
      <c r="E187" s="157">
        <v>470</v>
      </c>
      <c r="F187" s="157">
        <f>+C187*E187</f>
        <v>50948</v>
      </c>
      <c r="G187" s="157">
        <v>190</v>
      </c>
      <c r="H187" s="157">
        <f>+G187*C187</f>
        <v>20596</v>
      </c>
      <c r="I187" s="157">
        <f>+F187+H187</f>
        <v>71544</v>
      </c>
      <c r="J187" s="329"/>
    </row>
    <row r="188" spans="1:10" ht="21.75">
      <c r="A188" s="167"/>
      <c r="B188" s="361" t="s">
        <v>414</v>
      </c>
      <c r="C188" s="157">
        <v>109.4</v>
      </c>
      <c r="D188" s="167" t="s">
        <v>93</v>
      </c>
      <c r="E188" s="157">
        <v>70</v>
      </c>
      <c r="F188" s="157">
        <f>+C188*E188</f>
        <v>7658</v>
      </c>
      <c r="G188" s="157">
        <v>40</v>
      </c>
      <c r="H188" s="157">
        <f>+G188*C188</f>
        <v>4376</v>
      </c>
      <c r="I188" s="157">
        <f>+F188+H188</f>
        <v>12034</v>
      </c>
      <c r="J188" s="329"/>
    </row>
    <row r="189" spans="1:10" ht="21.75">
      <c r="A189" s="167"/>
      <c r="B189" s="251" t="s">
        <v>316</v>
      </c>
      <c r="C189" s="157">
        <v>71.4</v>
      </c>
      <c r="D189" s="167" t="s">
        <v>181</v>
      </c>
      <c r="E189" s="157">
        <v>75</v>
      </c>
      <c r="F189" s="157">
        <f>+C189*E189</f>
        <v>5355</v>
      </c>
      <c r="G189" s="157">
        <v>87</v>
      </c>
      <c r="H189" s="157">
        <f>+G189*C189</f>
        <v>6211.8</v>
      </c>
      <c r="I189" s="157">
        <f>+F189+H189</f>
        <v>11566.8</v>
      </c>
      <c r="J189" s="329"/>
    </row>
    <row r="190" spans="1:10" ht="21.75">
      <c r="A190" s="167"/>
      <c r="B190" s="358" t="s">
        <v>269</v>
      </c>
      <c r="C190" s="157"/>
      <c r="D190" s="167"/>
      <c r="E190" s="157"/>
      <c r="F190" s="157"/>
      <c r="G190" s="157"/>
      <c r="H190" s="157"/>
      <c r="I190" s="157"/>
      <c r="J190" s="329"/>
    </row>
    <row r="191" spans="1:10" ht="41.25" customHeight="1">
      <c r="A191" s="167"/>
      <c r="B191" s="361" t="s">
        <v>438</v>
      </c>
      <c r="C191" s="156">
        <v>100.4</v>
      </c>
      <c r="D191" s="162" t="s">
        <v>93</v>
      </c>
      <c r="E191" s="156">
        <v>280</v>
      </c>
      <c r="F191" s="156">
        <f>+C191*E191</f>
        <v>28112</v>
      </c>
      <c r="G191" s="156">
        <v>75</v>
      </c>
      <c r="H191" s="156">
        <f>+G191*C191</f>
        <v>7530</v>
      </c>
      <c r="I191" s="156">
        <f>+F191+H191</f>
        <v>35642</v>
      </c>
      <c r="J191" s="329"/>
    </row>
    <row r="192" spans="1:10" ht="45.75" customHeight="1">
      <c r="A192" s="167"/>
      <c r="B192" s="361" t="s">
        <v>444</v>
      </c>
      <c r="C192" s="156">
        <v>27.2</v>
      </c>
      <c r="D192" s="162" t="s">
        <v>93</v>
      </c>
      <c r="E192" s="156">
        <v>320</v>
      </c>
      <c r="F192" s="156">
        <f>+C192*E192</f>
        <v>8704</v>
      </c>
      <c r="G192" s="156">
        <v>75</v>
      </c>
      <c r="H192" s="156">
        <f>+G192*C192</f>
        <v>2040</v>
      </c>
      <c r="I192" s="156">
        <f>+F192+H192</f>
        <v>10744</v>
      </c>
      <c r="J192" s="329"/>
    </row>
    <row r="193" spans="1:10" ht="21.75">
      <c r="A193" s="167"/>
      <c r="B193" s="358" t="s">
        <v>261</v>
      </c>
      <c r="C193" s="157"/>
      <c r="D193" s="167"/>
      <c r="E193" s="157"/>
      <c r="F193" s="157"/>
      <c r="G193" s="157"/>
      <c r="H193" s="157"/>
      <c r="I193" s="157"/>
      <c r="J193" s="329"/>
    </row>
    <row r="194" spans="1:10" ht="21.75">
      <c r="A194" s="167"/>
      <c r="B194" s="251" t="s">
        <v>445</v>
      </c>
      <c r="C194" s="157">
        <v>4</v>
      </c>
      <c r="D194" s="167" t="s">
        <v>75</v>
      </c>
      <c r="E194" s="157">
        <v>7900</v>
      </c>
      <c r="F194" s="157">
        <f>+C194*E194</f>
        <v>31600</v>
      </c>
      <c r="G194" s="157">
        <v>1200</v>
      </c>
      <c r="H194" s="157">
        <f>+G194*C194</f>
        <v>4800</v>
      </c>
      <c r="I194" s="157">
        <f>+F194+H194</f>
        <v>36400</v>
      </c>
      <c r="J194" s="329"/>
    </row>
    <row r="195" spans="1:10" ht="21.75">
      <c r="A195" s="167"/>
      <c r="B195" s="251" t="s">
        <v>359</v>
      </c>
      <c r="C195" s="157">
        <v>4</v>
      </c>
      <c r="D195" s="167" t="s">
        <v>75</v>
      </c>
      <c r="E195" s="157">
        <v>7500</v>
      </c>
      <c r="F195" s="157">
        <f>+C195*E195</f>
        <v>30000</v>
      </c>
      <c r="G195" s="157">
        <v>1100</v>
      </c>
      <c r="H195" s="157">
        <f>+G195*C195</f>
        <v>4400</v>
      </c>
      <c r="I195" s="157">
        <f>+F195+H195</f>
        <v>34400</v>
      </c>
      <c r="J195" s="329"/>
    </row>
    <row r="196" spans="1:10" ht="21.75">
      <c r="A196" s="167"/>
      <c r="B196" s="251" t="s">
        <v>360</v>
      </c>
      <c r="C196" s="157">
        <v>4</v>
      </c>
      <c r="D196" s="167" t="s">
        <v>75</v>
      </c>
      <c r="E196" s="157">
        <v>2000</v>
      </c>
      <c r="F196" s="157">
        <f>+C196*E196</f>
        <v>8000</v>
      </c>
      <c r="G196" s="157">
        <v>200</v>
      </c>
      <c r="H196" s="157">
        <f>+G196*C196</f>
        <v>800</v>
      </c>
      <c r="I196" s="157">
        <f>+F196+H196</f>
        <v>8800</v>
      </c>
      <c r="J196" s="329"/>
    </row>
    <row r="197" spans="1:10" ht="21.75">
      <c r="A197" s="167"/>
      <c r="B197" s="251" t="s">
        <v>554</v>
      </c>
      <c r="C197" s="157">
        <v>4</v>
      </c>
      <c r="D197" s="167" t="s">
        <v>75</v>
      </c>
      <c r="E197" s="157">
        <v>15400</v>
      </c>
      <c r="F197" s="157">
        <f>+C197*E197</f>
        <v>61600</v>
      </c>
      <c r="G197" s="157">
        <v>400</v>
      </c>
      <c r="H197" s="157">
        <f>+G197*C197</f>
        <v>1600</v>
      </c>
      <c r="I197" s="157">
        <f>+F197+H197</f>
        <v>63200</v>
      </c>
      <c r="J197" s="329"/>
    </row>
    <row r="198" spans="1:10" ht="21.75">
      <c r="A198" s="332"/>
      <c r="B198" s="259" t="s">
        <v>515</v>
      </c>
      <c r="C198" s="163">
        <v>4</v>
      </c>
      <c r="D198" s="332" t="s">
        <v>75</v>
      </c>
      <c r="E198" s="163">
        <v>250</v>
      </c>
      <c r="F198" s="163">
        <f>+C198*E198</f>
        <v>1000</v>
      </c>
      <c r="G198" s="163">
        <v>150</v>
      </c>
      <c r="H198" s="163">
        <f>+G198*C198</f>
        <v>600</v>
      </c>
      <c r="I198" s="163">
        <f>+F198+H198</f>
        <v>1600</v>
      </c>
      <c r="J198" s="329"/>
    </row>
    <row r="199" spans="1:10" ht="21.75">
      <c r="A199" s="392"/>
      <c r="B199" s="606" t="s">
        <v>266</v>
      </c>
      <c r="C199" s="607"/>
      <c r="D199" s="392"/>
      <c r="E199" s="607"/>
      <c r="F199" s="607"/>
      <c r="G199" s="607"/>
      <c r="H199" s="607"/>
      <c r="I199" s="607"/>
      <c r="J199" s="329"/>
    </row>
    <row r="200" spans="1:10" s="292" customFormat="1" ht="21.75">
      <c r="A200" s="167"/>
      <c r="B200" s="365" t="s">
        <v>561</v>
      </c>
      <c r="C200" s="156">
        <v>269.1</v>
      </c>
      <c r="D200" s="162" t="s">
        <v>93</v>
      </c>
      <c r="E200" s="156">
        <v>80</v>
      </c>
      <c r="F200" s="156">
        <f>+C200*E200</f>
        <v>21528</v>
      </c>
      <c r="G200" s="156">
        <v>30</v>
      </c>
      <c r="H200" s="156">
        <f>+G200*C200</f>
        <v>8073.000000000001</v>
      </c>
      <c r="I200" s="156">
        <f>+F200+H200</f>
        <v>29601</v>
      </c>
      <c r="J200" s="329"/>
    </row>
    <row r="201" spans="1:10" s="292" customFormat="1" ht="21.75">
      <c r="A201" s="167"/>
      <c r="B201" s="365" t="s">
        <v>511</v>
      </c>
      <c r="C201" s="157">
        <v>127.6</v>
      </c>
      <c r="D201" s="167" t="s">
        <v>93</v>
      </c>
      <c r="E201" s="157">
        <v>45</v>
      </c>
      <c r="F201" s="157">
        <f>+C201*E201</f>
        <v>5742</v>
      </c>
      <c r="G201" s="157">
        <v>30</v>
      </c>
      <c r="H201" s="157">
        <f>+G201*C201</f>
        <v>3828</v>
      </c>
      <c r="I201" s="157">
        <f>+F201+H201</f>
        <v>9570</v>
      </c>
      <c r="J201" s="329"/>
    </row>
    <row r="202" spans="1:10" ht="21.75">
      <c r="A202" s="167"/>
      <c r="B202" s="358" t="s">
        <v>271</v>
      </c>
      <c r="C202" s="157"/>
      <c r="D202" s="167"/>
      <c r="E202" s="157"/>
      <c r="F202" s="157"/>
      <c r="G202" s="157"/>
      <c r="H202" s="157"/>
      <c r="I202" s="157"/>
      <c r="J202" s="329"/>
    </row>
    <row r="203" spans="1:10" ht="21.75">
      <c r="A203" s="167"/>
      <c r="B203" s="251" t="s">
        <v>312</v>
      </c>
      <c r="C203" s="157">
        <v>4</v>
      </c>
      <c r="D203" s="167" t="s">
        <v>75</v>
      </c>
      <c r="E203" s="157">
        <v>4900</v>
      </c>
      <c r="F203" s="157">
        <f aca="true" t="shared" si="15" ref="F203:F218">+C203*E203</f>
        <v>19600</v>
      </c>
      <c r="G203" s="157">
        <v>450</v>
      </c>
      <c r="H203" s="157">
        <f aca="true" t="shared" si="16" ref="H203:H218">+G203*C203</f>
        <v>1800</v>
      </c>
      <c r="I203" s="157">
        <f aca="true" t="shared" si="17" ref="I203:I218">+F203+H203</f>
        <v>21400</v>
      </c>
      <c r="J203" s="329"/>
    </row>
    <row r="204" spans="1:10" ht="42" customHeight="1">
      <c r="A204" s="167"/>
      <c r="B204" s="361" t="s">
        <v>437</v>
      </c>
      <c r="C204" s="156">
        <v>4</v>
      </c>
      <c r="D204" s="162" t="s">
        <v>75</v>
      </c>
      <c r="E204" s="156">
        <v>3800</v>
      </c>
      <c r="F204" s="156">
        <f t="shared" si="15"/>
        <v>15200</v>
      </c>
      <c r="G204" s="156">
        <v>450</v>
      </c>
      <c r="H204" s="156">
        <f t="shared" si="16"/>
        <v>1800</v>
      </c>
      <c r="I204" s="156">
        <f t="shared" si="17"/>
        <v>17000</v>
      </c>
      <c r="J204" s="321"/>
    </row>
    <row r="205" spans="1:10" ht="21.75">
      <c r="A205" s="167"/>
      <c r="B205" s="251" t="s">
        <v>436</v>
      </c>
      <c r="C205" s="157">
        <v>4</v>
      </c>
      <c r="D205" s="167" t="s">
        <v>75</v>
      </c>
      <c r="E205" s="157">
        <v>1200</v>
      </c>
      <c r="F205" s="157">
        <f t="shared" si="15"/>
        <v>4800</v>
      </c>
      <c r="G205" s="157">
        <v>0</v>
      </c>
      <c r="H205" s="157">
        <f t="shared" si="16"/>
        <v>0</v>
      </c>
      <c r="I205" s="157">
        <f t="shared" si="17"/>
        <v>4800</v>
      </c>
      <c r="J205" s="329"/>
    </row>
    <row r="206" spans="1:10" ht="21.75">
      <c r="A206" s="167"/>
      <c r="B206" s="251" t="s">
        <v>321</v>
      </c>
      <c r="C206" s="157">
        <v>4</v>
      </c>
      <c r="D206" s="167" t="s">
        <v>75</v>
      </c>
      <c r="E206" s="157">
        <v>650</v>
      </c>
      <c r="F206" s="157">
        <f t="shared" si="15"/>
        <v>2600</v>
      </c>
      <c r="G206" s="157">
        <v>80</v>
      </c>
      <c r="H206" s="157">
        <f t="shared" si="16"/>
        <v>320</v>
      </c>
      <c r="I206" s="157">
        <f t="shared" si="17"/>
        <v>2920</v>
      </c>
      <c r="J206" s="329"/>
    </row>
    <row r="207" spans="1:18" ht="21.75">
      <c r="A207" s="167"/>
      <c r="B207" s="361" t="s">
        <v>610</v>
      </c>
      <c r="C207" s="157">
        <v>4</v>
      </c>
      <c r="D207" s="167" t="s">
        <v>75</v>
      </c>
      <c r="E207" s="157">
        <v>600</v>
      </c>
      <c r="F207" s="157">
        <f t="shared" si="15"/>
        <v>2400</v>
      </c>
      <c r="G207" s="157">
        <v>70</v>
      </c>
      <c r="H207" s="157">
        <f t="shared" si="16"/>
        <v>280</v>
      </c>
      <c r="I207" s="157">
        <f t="shared" si="17"/>
        <v>2680</v>
      </c>
      <c r="J207" s="329"/>
      <c r="K207" s="171"/>
      <c r="L207" s="210"/>
      <c r="M207" s="211"/>
      <c r="N207" s="210"/>
      <c r="O207" s="210"/>
      <c r="P207" s="210"/>
      <c r="Q207" s="210"/>
      <c r="R207" s="210"/>
    </row>
    <row r="208" spans="1:10" ht="21.75">
      <c r="A208" s="167"/>
      <c r="B208" s="251" t="s">
        <v>605</v>
      </c>
      <c r="C208" s="157">
        <v>4</v>
      </c>
      <c r="D208" s="167" t="s">
        <v>75</v>
      </c>
      <c r="E208" s="157">
        <v>1800</v>
      </c>
      <c r="F208" s="157">
        <f t="shared" si="15"/>
        <v>7200</v>
      </c>
      <c r="G208" s="157">
        <v>70</v>
      </c>
      <c r="H208" s="157">
        <f t="shared" si="16"/>
        <v>280</v>
      </c>
      <c r="I208" s="157">
        <f t="shared" si="17"/>
        <v>7480</v>
      </c>
      <c r="J208" s="329"/>
    </row>
    <row r="209" spans="1:10" ht="21.75">
      <c r="A209" s="167"/>
      <c r="B209" s="251" t="s">
        <v>607</v>
      </c>
      <c r="C209" s="157">
        <v>4</v>
      </c>
      <c r="D209" s="167" t="s">
        <v>75</v>
      </c>
      <c r="E209" s="157">
        <v>650</v>
      </c>
      <c r="F209" s="157">
        <f t="shared" si="15"/>
        <v>2600</v>
      </c>
      <c r="G209" s="157">
        <v>70</v>
      </c>
      <c r="H209" s="157">
        <f t="shared" si="16"/>
        <v>280</v>
      </c>
      <c r="I209" s="157">
        <f t="shared" si="17"/>
        <v>2880</v>
      </c>
      <c r="J209" s="329"/>
    </row>
    <row r="210" spans="1:10" ht="43.5">
      <c r="A210" s="167"/>
      <c r="B210" s="365" t="s">
        <v>612</v>
      </c>
      <c r="C210" s="156">
        <v>4</v>
      </c>
      <c r="D210" s="162" t="s">
        <v>75</v>
      </c>
      <c r="E210" s="156">
        <v>2500</v>
      </c>
      <c r="F210" s="156">
        <f t="shared" si="15"/>
        <v>10000</v>
      </c>
      <c r="G210" s="156">
        <v>70</v>
      </c>
      <c r="H210" s="156">
        <f t="shared" si="16"/>
        <v>280</v>
      </c>
      <c r="I210" s="156">
        <f t="shared" si="17"/>
        <v>10280</v>
      </c>
      <c r="J210" s="329"/>
    </row>
    <row r="211" spans="1:10" ht="42" customHeight="1">
      <c r="A211" s="167"/>
      <c r="B211" s="361" t="s">
        <v>322</v>
      </c>
      <c r="C211" s="156">
        <v>2</v>
      </c>
      <c r="D211" s="162" t="s">
        <v>75</v>
      </c>
      <c r="E211" s="156">
        <v>3000</v>
      </c>
      <c r="F211" s="156">
        <f>+C211*E211</f>
        <v>6000</v>
      </c>
      <c r="G211" s="156">
        <v>70</v>
      </c>
      <c r="H211" s="156">
        <f>+G211*C211</f>
        <v>140</v>
      </c>
      <c r="I211" s="156">
        <f>+F211+H211</f>
        <v>6140</v>
      </c>
      <c r="J211" s="329"/>
    </row>
    <row r="212" spans="1:10" ht="21.75" customHeight="1">
      <c r="A212" s="332"/>
      <c r="B212" s="259" t="s">
        <v>453</v>
      </c>
      <c r="C212" s="232">
        <v>4.28</v>
      </c>
      <c r="D212" s="261" t="s">
        <v>93</v>
      </c>
      <c r="E212" s="163">
        <v>6500</v>
      </c>
      <c r="F212" s="232">
        <f>+C212*E212</f>
        <v>27820</v>
      </c>
      <c r="G212" s="232">
        <v>0</v>
      </c>
      <c r="H212" s="232">
        <f>+G212*C212</f>
        <v>0</v>
      </c>
      <c r="I212" s="232">
        <f>+F212+H212</f>
        <v>27820</v>
      </c>
      <c r="J212" s="329"/>
    </row>
    <row r="213" spans="1:10" ht="21.75" customHeight="1">
      <c r="A213" s="392"/>
      <c r="B213" s="608" t="s">
        <v>451</v>
      </c>
      <c r="C213" s="609">
        <v>4</v>
      </c>
      <c r="D213" s="610" t="s">
        <v>181</v>
      </c>
      <c r="E213" s="609">
        <v>1450</v>
      </c>
      <c r="F213" s="609">
        <f>+C213*E213</f>
        <v>5800</v>
      </c>
      <c r="G213" s="609">
        <v>0</v>
      </c>
      <c r="H213" s="609">
        <f>+G213*C213</f>
        <v>0</v>
      </c>
      <c r="I213" s="609">
        <f>+F213+H213</f>
        <v>5800</v>
      </c>
      <c r="J213" s="329"/>
    </row>
    <row r="214" spans="1:10" ht="21.75">
      <c r="A214" s="167"/>
      <c r="B214" s="251" t="s">
        <v>323</v>
      </c>
      <c r="C214" s="156">
        <v>4</v>
      </c>
      <c r="D214" s="162" t="s">
        <v>75</v>
      </c>
      <c r="E214" s="156">
        <v>150</v>
      </c>
      <c r="F214" s="156">
        <f>+C214*E214</f>
        <v>600</v>
      </c>
      <c r="G214" s="156">
        <v>25</v>
      </c>
      <c r="H214" s="156">
        <f>+G214*C214</f>
        <v>100</v>
      </c>
      <c r="I214" s="156">
        <f>+F214+H214</f>
        <v>700</v>
      </c>
      <c r="J214" s="329"/>
    </row>
    <row r="215" spans="1:10" ht="21.75">
      <c r="A215" s="167"/>
      <c r="B215" s="251" t="s">
        <v>606</v>
      </c>
      <c r="C215" s="157">
        <v>4</v>
      </c>
      <c r="D215" s="167" t="s">
        <v>75</v>
      </c>
      <c r="E215" s="157">
        <v>450</v>
      </c>
      <c r="F215" s="157">
        <f t="shared" si="15"/>
        <v>1800</v>
      </c>
      <c r="G215" s="157">
        <v>75</v>
      </c>
      <c r="H215" s="157">
        <f t="shared" si="16"/>
        <v>300</v>
      </c>
      <c r="I215" s="157">
        <f t="shared" si="17"/>
        <v>2100</v>
      </c>
      <c r="J215" s="329"/>
    </row>
    <row r="216" spans="1:10" ht="21.75">
      <c r="A216" s="167"/>
      <c r="B216" s="251" t="s">
        <v>354</v>
      </c>
      <c r="C216" s="157">
        <v>4</v>
      </c>
      <c r="D216" s="167" t="s">
        <v>75</v>
      </c>
      <c r="E216" s="157">
        <v>2200</v>
      </c>
      <c r="F216" s="157">
        <f>+C216*E216</f>
        <v>8800</v>
      </c>
      <c r="G216" s="157">
        <v>70</v>
      </c>
      <c r="H216" s="157">
        <f>+G216*C216</f>
        <v>280</v>
      </c>
      <c r="I216" s="157">
        <f>+F216+H216</f>
        <v>9080</v>
      </c>
      <c r="J216" s="329"/>
    </row>
    <row r="217" spans="1:10" ht="21.75">
      <c r="A217" s="167"/>
      <c r="B217" s="251" t="s">
        <v>389</v>
      </c>
      <c r="C217" s="157">
        <v>4</v>
      </c>
      <c r="D217" s="167" t="s">
        <v>75</v>
      </c>
      <c r="E217" s="157">
        <v>1600</v>
      </c>
      <c r="F217" s="157">
        <f>+C217*E217</f>
        <v>6400</v>
      </c>
      <c r="G217" s="157">
        <v>70</v>
      </c>
      <c r="H217" s="157">
        <f>+G217*C217</f>
        <v>280</v>
      </c>
      <c r="I217" s="157">
        <f>+F217+H217</f>
        <v>6680</v>
      </c>
      <c r="J217" s="329"/>
    </row>
    <row r="218" spans="1:10" s="297" customFormat="1" ht="65.25">
      <c r="A218" s="167"/>
      <c r="B218" s="365" t="s">
        <v>572</v>
      </c>
      <c r="C218" s="156">
        <v>34.4</v>
      </c>
      <c r="D218" s="162" t="s">
        <v>93</v>
      </c>
      <c r="E218" s="156">
        <v>1850</v>
      </c>
      <c r="F218" s="156">
        <f t="shared" si="15"/>
        <v>63640</v>
      </c>
      <c r="G218" s="156">
        <v>250</v>
      </c>
      <c r="H218" s="156">
        <f t="shared" si="16"/>
        <v>8600</v>
      </c>
      <c r="I218" s="156">
        <f t="shared" si="17"/>
        <v>72240</v>
      </c>
      <c r="J218" s="329"/>
    </row>
    <row r="219" spans="1:10" s="297" customFormat="1" ht="21.75">
      <c r="A219" s="167"/>
      <c r="B219" s="251" t="s">
        <v>567</v>
      </c>
      <c r="C219" s="157">
        <v>64</v>
      </c>
      <c r="D219" s="167" t="s">
        <v>181</v>
      </c>
      <c r="E219" s="157">
        <v>35</v>
      </c>
      <c r="F219" s="157">
        <f>+C219*E219</f>
        <v>2240</v>
      </c>
      <c r="G219" s="157">
        <v>25</v>
      </c>
      <c r="H219" s="157">
        <f>+G219*C219</f>
        <v>1600</v>
      </c>
      <c r="I219" s="157">
        <f>+F219+H219</f>
        <v>3840</v>
      </c>
      <c r="J219" s="329"/>
    </row>
    <row r="220" spans="1:10" ht="41.25" customHeight="1">
      <c r="A220" s="235"/>
      <c r="B220" s="371" t="s">
        <v>361</v>
      </c>
      <c r="C220" s="372"/>
      <c r="D220" s="372"/>
      <c r="E220" s="372"/>
      <c r="F220" s="228">
        <f>SUM(F178:F219)</f>
        <v>522940.8</v>
      </c>
      <c r="G220" s="372"/>
      <c r="H220" s="228">
        <f>SUM(H178:H219)</f>
        <v>112408.6</v>
      </c>
      <c r="I220" s="228">
        <f>SUM(I178:I219)</f>
        <v>635349.4</v>
      </c>
      <c r="J220" s="329"/>
    </row>
    <row r="221" spans="1:10" ht="42" customHeight="1">
      <c r="A221" s="324">
        <v>1.08</v>
      </c>
      <c r="B221" s="374" t="s">
        <v>325</v>
      </c>
      <c r="C221" s="231"/>
      <c r="D221" s="231"/>
      <c r="E221" s="231"/>
      <c r="F221" s="155"/>
      <c r="G221" s="231"/>
      <c r="H221" s="155"/>
      <c r="I221" s="155"/>
      <c r="J221" s="329"/>
    </row>
    <row r="222" spans="1:10" ht="21.75">
      <c r="A222" s="235"/>
      <c r="B222" s="358" t="s">
        <v>92</v>
      </c>
      <c r="C222" s="231"/>
      <c r="D222" s="231"/>
      <c r="E222" s="231"/>
      <c r="F222" s="155"/>
      <c r="G222" s="231"/>
      <c r="H222" s="155"/>
      <c r="I222" s="155"/>
      <c r="J222" s="329"/>
    </row>
    <row r="223" spans="1:10" ht="21.75">
      <c r="A223" s="332"/>
      <c r="B223" s="259" t="s">
        <v>384</v>
      </c>
      <c r="C223" s="163">
        <v>2</v>
      </c>
      <c r="D223" s="332" t="s">
        <v>75</v>
      </c>
      <c r="E223" s="163">
        <v>0</v>
      </c>
      <c r="F223" s="163">
        <f>+C223*E223</f>
        <v>0</v>
      </c>
      <c r="G223" s="163">
        <v>400</v>
      </c>
      <c r="H223" s="163">
        <f>+G223*C223</f>
        <v>800</v>
      </c>
      <c r="I223" s="163">
        <f>+F223+H223</f>
        <v>800</v>
      </c>
      <c r="J223" s="329"/>
    </row>
    <row r="224" spans="1:10" ht="21.75">
      <c r="A224" s="353"/>
      <c r="B224" s="354" t="s">
        <v>250</v>
      </c>
      <c r="C224" s="255"/>
      <c r="D224" s="353"/>
      <c r="E224" s="255"/>
      <c r="F224" s="255"/>
      <c r="G224" s="255"/>
      <c r="H224" s="255"/>
      <c r="I224" s="255"/>
      <c r="J224" s="329"/>
    </row>
    <row r="225" spans="1:10" ht="21.75">
      <c r="A225" s="167"/>
      <c r="B225" s="358" t="s">
        <v>258</v>
      </c>
      <c r="C225" s="157"/>
      <c r="D225" s="167"/>
      <c r="E225" s="157"/>
      <c r="F225" s="157"/>
      <c r="G225" s="157"/>
      <c r="H225" s="157"/>
      <c r="I225" s="157"/>
      <c r="J225" s="329"/>
    </row>
    <row r="226" spans="1:10" ht="39" customHeight="1">
      <c r="A226" s="167"/>
      <c r="B226" s="361" t="s">
        <v>358</v>
      </c>
      <c r="C226" s="156">
        <v>30</v>
      </c>
      <c r="D226" s="162" t="s">
        <v>93</v>
      </c>
      <c r="E226" s="156">
        <v>273</v>
      </c>
      <c r="F226" s="156">
        <f>+C226*E226</f>
        <v>8190</v>
      </c>
      <c r="G226" s="156">
        <v>56</v>
      </c>
      <c r="H226" s="156">
        <f>+G226*C226</f>
        <v>1680</v>
      </c>
      <c r="I226" s="156">
        <f>+F226+H226</f>
        <v>9870</v>
      </c>
      <c r="J226" s="329"/>
    </row>
    <row r="227" spans="1:10" ht="21.75">
      <c r="A227" s="167"/>
      <c r="B227" s="251" t="s">
        <v>316</v>
      </c>
      <c r="C227" s="157">
        <v>64</v>
      </c>
      <c r="D227" s="167" t="s">
        <v>93</v>
      </c>
      <c r="E227" s="157">
        <v>75</v>
      </c>
      <c r="F227" s="157">
        <f>+C227*E227</f>
        <v>4800</v>
      </c>
      <c r="G227" s="157">
        <v>87</v>
      </c>
      <c r="H227" s="157">
        <f>+G227*C227</f>
        <v>5568</v>
      </c>
      <c r="I227" s="157">
        <f>+F227+H227</f>
        <v>10368</v>
      </c>
      <c r="J227" s="329"/>
    </row>
    <row r="228" spans="1:10" ht="21.75">
      <c r="A228" s="167"/>
      <c r="B228" s="358" t="s">
        <v>269</v>
      </c>
      <c r="C228" s="157"/>
      <c r="D228" s="167"/>
      <c r="E228" s="157"/>
      <c r="F228" s="157"/>
      <c r="G228" s="157"/>
      <c r="H228" s="157"/>
      <c r="I228" s="157"/>
      <c r="J228" s="329"/>
    </row>
    <row r="229" spans="1:10" ht="43.5">
      <c r="A229" s="167"/>
      <c r="B229" s="361" t="s">
        <v>438</v>
      </c>
      <c r="C229" s="156">
        <v>64</v>
      </c>
      <c r="D229" s="162" t="s">
        <v>93</v>
      </c>
      <c r="E229" s="156">
        <v>280</v>
      </c>
      <c r="F229" s="156">
        <f>+C229*E229</f>
        <v>17920</v>
      </c>
      <c r="G229" s="156">
        <v>75</v>
      </c>
      <c r="H229" s="156">
        <f>+G229*C229</f>
        <v>4800</v>
      </c>
      <c r="I229" s="156">
        <f>+F229+H229</f>
        <v>22720</v>
      </c>
      <c r="J229" s="329"/>
    </row>
    <row r="230" spans="1:10" ht="21.75">
      <c r="A230" s="167"/>
      <c r="B230" s="358" t="s">
        <v>265</v>
      </c>
      <c r="C230" s="157"/>
      <c r="D230" s="167"/>
      <c r="E230" s="157"/>
      <c r="F230" s="157"/>
      <c r="G230" s="157"/>
      <c r="H230" s="157"/>
      <c r="I230" s="157"/>
      <c r="J230" s="329"/>
    </row>
    <row r="231" spans="1:10" ht="21.75">
      <c r="A231" s="167"/>
      <c r="B231" s="251" t="s">
        <v>515</v>
      </c>
      <c r="C231" s="157">
        <v>2</v>
      </c>
      <c r="D231" s="167" t="s">
        <v>75</v>
      </c>
      <c r="E231" s="157">
        <v>250</v>
      </c>
      <c r="F231" s="157">
        <f>+C231*E231</f>
        <v>500</v>
      </c>
      <c r="G231" s="157">
        <v>150</v>
      </c>
      <c r="H231" s="157">
        <f>+G231*C231</f>
        <v>300</v>
      </c>
      <c r="I231" s="157">
        <f>+F231+H231</f>
        <v>800</v>
      </c>
      <c r="J231" s="329"/>
    </row>
    <row r="232" spans="1:10" ht="21.75">
      <c r="A232" s="167"/>
      <c r="B232" s="358" t="s">
        <v>266</v>
      </c>
      <c r="C232" s="157"/>
      <c r="D232" s="167"/>
      <c r="E232" s="157"/>
      <c r="F232" s="157"/>
      <c r="G232" s="157"/>
      <c r="H232" s="157"/>
      <c r="I232" s="157"/>
      <c r="J232" s="329"/>
    </row>
    <row r="233" spans="1:10" s="292" customFormat="1" ht="21.75">
      <c r="A233" s="167"/>
      <c r="B233" s="365" t="s">
        <v>561</v>
      </c>
      <c r="C233" s="156">
        <v>94</v>
      </c>
      <c r="D233" s="162" t="s">
        <v>93</v>
      </c>
      <c r="E233" s="156">
        <v>80</v>
      </c>
      <c r="F233" s="156">
        <f aca="true" t="shared" si="18" ref="F233:F238">+C233*E233</f>
        <v>7520</v>
      </c>
      <c r="G233" s="156">
        <v>30</v>
      </c>
      <c r="H233" s="156">
        <f aca="true" t="shared" si="19" ref="H233:H238">+G233*C233</f>
        <v>2820</v>
      </c>
      <c r="I233" s="156">
        <f aca="true" t="shared" si="20" ref="I233:I238">+F233+H233</f>
        <v>10340</v>
      </c>
      <c r="J233" s="329"/>
    </row>
    <row r="234" spans="1:10" s="292" customFormat="1" ht="21.75">
      <c r="A234" s="167"/>
      <c r="B234" s="365" t="s">
        <v>511</v>
      </c>
      <c r="C234" s="157">
        <v>64</v>
      </c>
      <c r="D234" s="167" t="s">
        <v>93</v>
      </c>
      <c r="E234" s="157">
        <v>45</v>
      </c>
      <c r="F234" s="157">
        <f t="shared" si="18"/>
        <v>2880</v>
      </c>
      <c r="G234" s="157">
        <v>30</v>
      </c>
      <c r="H234" s="157">
        <f t="shared" si="19"/>
        <v>1920</v>
      </c>
      <c r="I234" s="157">
        <f t="shared" si="20"/>
        <v>4800</v>
      </c>
      <c r="J234" s="329"/>
    </row>
    <row r="235" spans="1:10" s="297" customFormat="1" ht="21.75">
      <c r="A235" s="167"/>
      <c r="B235" s="251" t="s">
        <v>439</v>
      </c>
      <c r="C235" s="157">
        <v>1</v>
      </c>
      <c r="D235" s="167" t="s">
        <v>75</v>
      </c>
      <c r="E235" s="157">
        <v>58000</v>
      </c>
      <c r="F235" s="157">
        <f t="shared" si="18"/>
        <v>58000</v>
      </c>
      <c r="G235" s="157">
        <v>7000</v>
      </c>
      <c r="H235" s="157">
        <f t="shared" si="19"/>
        <v>7000</v>
      </c>
      <c r="I235" s="157">
        <f t="shared" si="20"/>
        <v>65000</v>
      </c>
      <c r="J235" s="329"/>
    </row>
    <row r="236" spans="1:10" ht="21.75">
      <c r="A236" s="167"/>
      <c r="B236" s="251" t="s">
        <v>530</v>
      </c>
      <c r="C236" s="157">
        <v>1</v>
      </c>
      <c r="D236" s="167" t="s">
        <v>75</v>
      </c>
      <c r="E236" s="157">
        <v>6000</v>
      </c>
      <c r="F236" s="157">
        <f t="shared" si="18"/>
        <v>6000</v>
      </c>
      <c r="G236" s="157">
        <v>1500</v>
      </c>
      <c r="H236" s="157">
        <f t="shared" si="19"/>
        <v>1500</v>
      </c>
      <c r="I236" s="157">
        <f t="shared" si="20"/>
        <v>7500</v>
      </c>
      <c r="J236" s="329"/>
    </row>
    <row r="237" spans="1:10" s="292" customFormat="1" ht="21.75">
      <c r="A237" s="167"/>
      <c r="B237" s="251" t="s">
        <v>441</v>
      </c>
      <c r="C237" s="157">
        <v>2</v>
      </c>
      <c r="D237" s="167" t="s">
        <v>75</v>
      </c>
      <c r="E237" s="157">
        <v>400</v>
      </c>
      <c r="F237" s="157">
        <f t="shared" si="18"/>
        <v>800</v>
      </c>
      <c r="G237" s="157">
        <v>0</v>
      </c>
      <c r="H237" s="157">
        <f t="shared" si="19"/>
        <v>0</v>
      </c>
      <c r="I237" s="157">
        <f t="shared" si="20"/>
        <v>800</v>
      </c>
      <c r="J237" s="329"/>
    </row>
    <row r="238" spans="1:10" s="297" customFormat="1" ht="21.75">
      <c r="A238" s="167"/>
      <c r="B238" s="251" t="s">
        <v>567</v>
      </c>
      <c r="C238" s="157">
        <v>26.3</v>
      </c>
      <c r="D238" s="167" t="s">
        <v>181</v>
      </c>
      <c r="E238" s="157">
        <v>30</v>
      </c>
      <c r="F238" s="157">
        <f t="shared" si="18"/>
        <v>789</v>
      </c>
      <c r="G238" s="157">
        <v>25</v>
      </c>
      <c r="H238" s="157">
        <f t="shared" si="19"/>
        <v>657.5</v>
      </c>
      <c r="I238" s="157">
        <f t="shared" si="20"/>
        <v>1446.5</v>
      </c>
      <c r="J238" s="329"/>
    </row>
    <row r="239" spans="1:10" ht="21.75" customHeight="1">
      <c r="A239" s="349"/>
      <c r="B239" s="377" t="s">
        <v>440</v>
      </c>
      <c r="C239" s="369"/>
      <c r="D239" s="369"/>
      <c r="E239" s="369"/>
      <c r="F239" s="233">
        <f>SUM(F223:F238)</f>
        <v>107399</v>
      </c>
      <c r="G239" s="378"/>
      <c r="H239" s="233">
        <f>SUM(H223:H238)</f>
        <v>27045.5</v>
      </c>
      <c r="I239" s="233">
        <f>SUM(I223:I238)</f>
        <v>134444.5</v>
      </c>
      <c r="J239" s="329"/>
    </row>
    <row r="240" spans="1:10" ht="42.75" customHeight="1">
      <c r="A240" s="379">
        <v>1.09</v>
      </c>
      <c r="B240" s="383" t="s">
        <v>324</v>
      </c>
      <c r="C240" s="335"/>
      <c r="D240" s="335"/>
      <c r="E240" s="335"/>
      <c r="F240" s="255"/>
      <c r="G240" s="335"/>
      <c r="H240" s="255"/>
      <c r="I240" s="255"/>
      <c r="J240" s="329"/>
    </row>
    <row r="241" spans="1:10" ht="21.75">
      <c r="A241" s="235"/>
      <c r="B241" s="358" t="s">
        <v>92</v>
      </c>
      <c r="C241" s="231"/>
      <c r="D241" s="231"/>
      <c r="E241" s="231"/>
      <c r="F241" s="155"/>
      <c r="G241" s="231"/>
      <c r="H241" s="155"/>
      <c r="I241" s="155"/>
      <c r="J241" s="329"/>
    </row>
    <row r="242" spans="1:10" ht="21.75">
      <c r="A242" s="167"/>
      <c r="B242" s="251" t="s">
        <v>313</v>
      </c>
      <c r="C242" s="157">
        <v>2</v>
      </c>
      <c r="D242" s="167" t="s">
        <v>75</v>
      </c>
      <c r="E242" s="157">
        <v>0</v>
      </c>
      <c r="F242" s="157">
        <f aca="true" t="shared" si="21" ref="F242:F247">+C242*E242</f>
        <v>0</v>
      </c>
      <c r="G242" s="157">
        <v>300</v>
      </c>
      <c r="H242" s="157">
        <f aca="true" t="shared" si="22" ref="H242:H247">+G242*C242</f>
        <v>600</v>
      </c>
      <c r="I242" s="157">
        <f aca="true" t="shared" si="23" ref="I242:I247">+F242+H242</f>
        <v>600</v>
      </c>
      <c r="J242" s="329"/>
    </row>
    <row r="243" spans="1:10" ht="21.75">
      <c r="A243" s="167"/>
      <c r="B243" s="251" t="s">
        <v>314</v>
      </c>
      <c r="C243" s="157">
        <v>4</v>
      </c>
      <c r="D243" s="167" t="s">
        <v>75</v>
      </c>
      <c r="E243" s="157">
        <v>0</v>
      </c>
      <c r="F243" s="157">
        <f t="shared" si="21"/>
        <v>0</v>
      </c>
      <c r="G243" s="157">
        <v>300</v>
      </c>
      <c r="H243" s="157">
        <f t="shared" si="22"/>
        <v>1200</v>
      </c>
      <c r="I243" s="157">
        <f t="shared" si="23"/>
        <v>1200</v>
      </c>
      <c r="J243" s="329"/>
    </row>
    <row r="244" spans="1:10" ht="21.75">
      <c r="A244" s="167"/>
      <c r="B244" s="251" t="s">
        <v>315</v>
      </c>
      <c r="C244" s="157">
        <v>5</v>
      </c>
      <c r="D244" s="167" t="s">
        <v>75</v>
      </c>
      <c r="E244" s="157">
        <v>0</v>
      </c>
      <c r="F244" s="157">
        <f t="shared" si="21"/>
        <v>0</v>
      </c>
      <c r="G244" s="157">
        <v>200</v>
      </c>
      <c r="H244" s="157">
        <f t="shared" si="22"/>
        <v>1000</v>
      </c>
      <c r="I244" s="157">
        <f t="shared" si="23"/>
        <v>1000</v>
      </c>
      <c r="J244" s="329"/>
    </row>
    <row r="245" spans="1:10" ht="21.75">
      <c r="A245" s="167"/>
      <c r="B245" s="251" t="s">
        <v>533</v>
      </c>
      <c r="C245" s="157">
        <v>5</v>
      </c>
      <c r="D245" s="167" t="s">
        <v>75</v>
      </c>
      <c r="E245" s="157">
        <v>0</v>
      </c>
      <c r="F245" s="157">
        <f t="shared" si="21"/>
        <v>0</v>
      </c>
      <c r="G245" s="157">
        <v>400</v>
      </c>
      <c r="H245" s="157">
        <f t="shared" si="22"/>
        <v>2000</v>
      </c>
      <c r="I245" s="157">
        <f t="shared" si="23"/>
        <v>2000</v>
      </c>
      <c r="J245" s="329"/>
    </row>
    <row r="246" spans="1:10" ht="21.75">
      <c r="A246" s="167"/>
      <c r="B246" s="251" t="s">
        <v>298</v>
      </c>
      <c r="C246" s="157">
        <v>219.6</v>
      </c>
      <c r="D246" s="167" t="s">
        <v>93</v>
      </c>
      <c r="E246" s="157">
        <v>0</v>
      </c>
      <c r="F246" s="157">
        <f t="shared" si="21"/>
        <v>0</v>
      </c>
      <c r="G246" s="157">
        <v>25</v>
      </c>
      <c r="H246" s="157">
        <f t="shared" si="22"/>
        <v>5490</v>
      </c>
      <c r="I246" s="157">
        <f t="shared" si="23"/>
        <v>5490</v>
      </c>
      <c r="J246" s="329"/>
    </row>
    <row r="247" spans="1:10" ht="21.75">
      <c r="A247" s="167"/>
      <c r="B247" s="251" t="s">
        <v>443</v>
      </c>
      <c r="C247" s="157">
        <v>22.15</v>
      </c>
      <c r="D247" s="167" t="s">
        <v>93</v>
      </c>
      <c r="E247" s="157">
        <v>0</v>
      </c>
      <c r="F247" s="157">
        <f t="shared" si="21"/>
        <v>0</v>
      </c>
      <c r="G247" s="157">
        <v>30</v>
      </c>
      <c r="H247" s="157">
        <f t="shared" si="22"/>
        <v>664.5</v>
      </c>
      <c r="I247" s="157">
        <f t="shared" si="23"/>
        <v>664.5</v>
      </c>
      <c r="J247" s="329"/>
    </row>
    <row r="248" spans="1:10" ht="21.75">
      <c r="A248" s="235"/>
      <c r="B248" s="358" t="s">
        <v>250</v>
      </c>
      <c r="C248" s="155"/>
      <c r="D248" s="235"/>
      <c r="E248" s="155"/>
      <c r="F248" s="155"/>
      <c r="G248" s="155"/>
      <c r="H248" s="155"/>
      <c r="I248" s="155"/>
      <c r="J248" s="329"/>
    </row>
    <row r="249" spans="1:10" ht="21.75">
      <c r="A249" s="167"/>
      <c r="B249" s="358" t="s">
        <v>272</v>
      </c>
      <c r="C249" s="157"/>
      <c r="D249" s="167"/>
      <c r="E249" s="157"/>
      <c r="F249" s="157"/>
      <c r="G249" s="157"/>
      <c r="H249" s="157"/>
      <c r="I249" s="157"/>
      <c r="J249" s="329"/>
    </row>
    <row r="250" spans="1:10" ht="21.75">
      <c r="A250" s="167"/>
      <c r="B250" s="252" t="s">
        <v>317</v>
      </c>
      <c r="C250" s="157">
        <f>2.85*2.8</f>
        <v>7.9799999999999995</v>
      </c>
      <c r="D250" s="167" t="s">
        <v>93</v>
      </c>
      <c r="E250" s="157">
        <v>0</v>
      </c>
      <c r="F250" s="157">
        <f>+C250*E250</f>
        <v>0</v>
      </c>
      <c r="G250" s="157">
        <v>150</v>
      </c>
      <c r="H250" s="157">
        <f>+G250*C250</f>
        <v>1197</v>
      </c>
      <c r="I250" s="157">
        <f>+F250+H250</f>
        <v>1197</v>
      </c>
      <c r="J250" s="329"/>
    </row>
    <row r="251" spans="1:10" ht="21.75">
      <c r="A251" s="167"/>
      <c r="B251" s="252" t="s">
        <v>520</v>
      </c>
      <c r="C251" s="156">
        <v>29.3</v>
      </c>
      <c r="D251" s="162" t="s">
        <v>93</v>
      </c>
      <c r="E251" s="156">
        <v>450</v>
      </c>
      <c r="F251" s="156">
        <f>+C251*E251</f>
        <v>13185</v>
      </c>
      <c r="G251" s="156">
        <v>222</v>
      </c>
      <c r="H251" s="156">
        <f>+G251*C251</f>
        <v>6504.6</v>
      </c>
      <c r="I251" s="156">
        <f>+F251+H251</f>
        <v>19689.6</v>
      </c>
      <c r="J251" s="329"/>
    </row>
    <row r="252" spans="1:10" ht="21.75">
      <c r="A252" s="167"/>
      <c r="B252" s="358" t="s">
        <v>275</v>
      </c>
      <c r="C252" s="157"/>
      <c r="D252" s="167"/>
      <c r="E252" s="157"/>
      <c r="F252" s="157"/>
      <c r="G252" s="157"/>
      <c r="H252" s="157"/>
      <c r="I252" s="157"/>
      <c r="J252" s="329"/>
    </row>
    <row r="253" spans="1:10" ht="43.5">
      <c r="A253" s="167"/>
      <c r="B253" s="361" t="s">
        <v>358</v>
      </c>
      <c r="C253" s="156">
        <v>33.48</v>
      </c>
      <c r="D253" s="162" t="s">
        <v>93</v>
      </c>
      <c r="E253" s="156">
        <v>273</v>
      </c>
      <c r="F253" s="156">
        <f>+C253*E253</f>
        <v>9140.039999999999</v>
      </c>
      <c r="G253" s="156">
        <v>56</v>
      </c>
      <c r="H253" s="156">
        <f>+G253*C253</f>
        <v>1874.8799999999999</v>
      </c>
      <c r="I253" s="156">
        <f>+F253+H253</f>
        <v>11014.919999999998</v>
      </c>
      <c r="J253" s="329"/>
    </row>
    <row r="254" spans="1:10" ht="21.75">
      <c r="A254" s="332"/>
      <c r="B254" s="375" t="s">
        <v>525</v>
      </c>
      <c r="C254" s="163">
        <v>22.05</v>
      </c>
      <c r="D254" s="332" t="s">
        <v>93</v>
      </c>
      <c r="E254" s="163">
        <v>470</v>
      </c>
      <c r="F254" s="163">
        <f>+C254*E254</f>
        <v>10363.5</v>
      </c>
      <c r="G254" s="163">
        <v>190</v>
      </c>
      <c r="H254" s="163">
        <f>+G254*C254</f>
        <v>4189.5</v>
      </c>
      <c r="I254" s="163">
        <f>+F254+H254</f>
        <v>14553</v>
      </c>
      <c r="J254" s="329"/>
    </row>
    <row r="255" spans="1:10" ht="21.75">
      <c r="A255" s="363"/>
      <c r="B255" s="364" t="s">
        <v>318</v>
      </c>
      <c r="C255" s="239">
        <v>70.96</v>
      </c>
      <c r="D255" s="363" t="s">
        <v>93</v>
      </c>
      <c r="E255" s="239">
        <v>75</v>
      </c>
      <c r="F255" s="239">
        <f>+C255*E255</f>
        <v>5321.999999999999</v>
      </c>
      <c r="G255" s="239">
        <v>87</v>
      </c>
      <c r="H255" s="239">
        <f>+G255*C255</f>
        <v>6173.5199999999995</v>
      </c>
      <c r="I255" s="239">
        <f>+F255+H255</f>
        <v>11495.519999999999</v>
      </c>
      <c r="J255" s="329"/>
    </row>
    <row r="256" spans="1:10" ht="21.75">
      <c r="A256" s="167"/>
      <c r="B256" s="251" t="s">
        <v>427</v>
      </c>
      <c r="C256" s="157">
        <v>6.2</v>
      </c>
      <c r="D256" s="167" t="s">
        <v>181</v>
      </c>
      <c r="E256" s="157">
        <v>70</v>
      </c>
      <c r="F256" s="157">
        <f>+C256*E256</f>
        <v>434</v>
      </c>
      <c r="G256" s="157">
        <v>40</v>
      </c>
      <c r="H256" s="157">
        <f>+G256*C256</f>
        <v>248</v>
      </c>
      <c r="I256" s="157">
        <f>+F256+H256</f>
        <v>682</v>
      </c>
      <c r="J256" s="329"/>
    </row>
    <row r="257" spans="1:10" ht="21.75">
      <c r="A257" s="167"/>
      <c r="B257" s="358" t="s">
        <v>260</v>
      </c>
      <c r="C257" s="157"/>
      <c r="D257" s="167"/>
      <c r="E257" s="157"/>
      <c r="F257" s="157"/>
      <c r="G257" s="157"/>
      <c r="H257" s="157"/>
      <c r="I257" s="157"/>
      <c r="J257" s="329"/>
    </row>
    <row r="258" spans="1:10" ht="43.5">
      <c r="A258" s="167"/>
      <c r="B258" s="361" t="s">
        <v>438</v>
      </c>
      <c r="C258" s="156">
        <v>185.8</v>
      </c>
      <c r="D258" s="162" t="s">
        <v>93</v>
      </c>
      <c r="E258" s="156">
        <v>280</v>
      </c>
      <c r="F258" s="156">
        <f>+C258*E258</f>
        <v>52024</v>
      </c>
      <c r="G258" s="156">
        <v>75</v>
      </c>
      <c r="H258" s="156">
        <f>+G258*C258</f>
        <v>13935</v>
      </c>
      <c r="I258" s="156">
        <f>+F258+H258</f>
        <v>65959</v>
      </c>
      <c r="J258" s="329"/>
    </row>
    <row r="259" spans="1:10" ht="43.5">
      <c r="A259" s="167"/>
      <c r="B259" s="361" t="s">
        <v>444</v>
      </c>
      <c r="C259" s="156">
        <v>31.15</v>
      </c>
      <c r="D259" s="162" t="s">
        <v>93</v>
      </c>
      <c r="E259" s="156">
        <v>320</v>
      </c>
      <c r="F259" s="156">
        <f>+C259*E259</f>
        <v>9968</v>
      </c>
      <c r="G259" s="156">
        <v>75</v>
      </c>
      <c r="H259" s="156">
        <f>+G259*C259</f>
        <v>2336.25</v>
      </c>
      <c r="I259" s="156">
        <f>+F259+H259</f>
        <v>12304.25</v>
      </c>
      <c r="J259" s="329"/>
    </row>
    <row r="260" spans="1:10" ht="21.75">
      <c r="A260" s="167"/>
      <c r="B260" s="358" t="s">
        <v>261</v>
      </c>
      <c r="C260" s="157"/>
      <c r="D260" s="167"/>
      <c r="E260" s="157"/>
      <c r="F260" s="157"/>
      <c r="G260" s="157"/>
      <c r="H260" s="157"/>
      <c r="I260" s="157"/>
      <c r="J260" s="329"/>
    </row>
    <row r="261" spans="1:19" ht="21.75">
      <c r="A261" s="167"/>
      <c r="B261" s="251" t="s">
        <v>355</v>
      </c>
      <c r="C261" s="157">
        <v>1</v>
      </c>
      <c r="D261" s="167" t="s">
        <v>75</v>
      </c>
      <c r="E261" s="157">
        <v>9500</v>
      </c>
      <c r="F261" s="157">
        <f aca="true" t="shared" si="24" ref="F261:F266">+C261*E261</f>
        <v>9500</v>
      </c>
      <c r="G261" s="157">
        <v>1450</v>
      </c>
      <c r="H261" s="157">
        <f aca="true" t="shared" si="25" ref="H261:H266">+G261*C261</f>
        <v>1450</v>
      </c>
      <c r="I261" s="157">
        <f aca="true" t="shared" si="26" ref="I261:I266">+F261+H261</f>
        <v>10950</v>
      </c>
      <c r="J261" s="329"/>
      <c r="K261" s="91"/>
      <c r="L261" s="91"/>
      <c r="M261" s="91"/>
      <c r="N261" s="91"/>
      <c r="O261" s="91"/>
      <c r="P261" s="91"/>
      <c r="Q261" s="91"/>
      <c r="R261" s="91"/>
      <c r="S261" s="91"/>
    </row>
    <row r="262" spans="1:19" ht="21.75">
      <c r="A262" s="167"/>
      <c r="B262" s="251" t="s">
        <v>319</v>
      </c>
      <c r="C262" s="157">
        <v>2</v>
      </c>
      <c r="D262" s="167" t="s">
        <v>75</v>
      </c>
      <c r="E262" s="157">
        <v>7500</v>
      </c>
      <c r="F262" s="157">
        <f t="shared" si="24"/>
        <v>15000</v>
      </c>
      <c r="G262" s="157">
        <v>1100</v>
      </c>
      <c r="H262" s="157">
        <f t="shared" si="25"/>
        <v>2200</v>
      </c>
      <c r="I262" s="157">
        <f t="shared" si="26"/>
        <v>17200</v>
      </c>
      <c r="J262" s="329"/>
      <c r="K262" s="91"/>
      <c r="L262" s="91"/>
      <c r="M262" s="91"/>
      <c r="N262" s="91"/>
      <c r="O262" s="91"/>
      <c r="P262" s="91"/>
      <c r="Q262" s="91"/>
      <c r="R262" s="91"/>
      <c r="S262" s="91"/>
    </row>
    <row r="263" spans="1:19" ht="21.75">
      <c r="A263" s="167"/>
      <c r="B263" s="251" t="s">
        <v>446</v>
      </c>
      <c r="C263" s="157">
        <v>1</v>
      </c>
      <c r="D263" s="167" t="s">
        <v>75</v>
      </c>
      <c r="E263" s="157">
        <v>6500</v>
      </c>
      <c r="F263" s="157">
        <f t="shared" si="24"/>
        <v>6500</v>
      </c>
      <c r="G263" s="157">
        <v>950</v>
      </c>
      <c r="H263" s="157">
        <f t="shared" si="25"/>
        <v>950</v>
      </c>
      <c r="I263" s="157">
        <f t="shared" si="26"/>
        <v>7450</v>
      </c>
      <c r="J263" s="329"/>
      <c r="K263" s="91"/>
      <c r="L263" s="91"/>
      <c r="M263" s="91"/>
      <c r="N263" s="91"/>
      <c r="O263" s="91"/>
      <c r="P263" s="91"/>
      <c r="Q263" s="91"/>
      <c r="R263" s="91"/>
      <c r="S263" s="91"/>
    </row>
    <row r="264" spans="1:19" ht="21.75">
      <c r="A264" s="167"/>
      <c r="B264" s="251" t="s">
        <v>447</v>
      </c>
      <c r="C264" s="157">
        <v>1</v>
      </c>
      <c r="D264" s="167" t="s">
        <v>75</v>
      </c>
      <c r="E264" s="157">
        <v>9500</v>
      </c>
      <c r="F264" s="157">
        <f t="shared" si="24"/>
        <v>9500</v>
      </c>
      <c r="G264" s="157">
        <v>2500</v>
      </c>
      <c r="H264" s="157">
        <f t="shared" si="25"/>
        <v>2500</v>
      </c>
      <c r="I264" s="157">
        <f t="shared" si="26"/>
        <v>12000</v>
      </c>
      <c r="J264" s="329"/>
      <c r="K264" s="168"/>
      <c r="L264" s="169"/>
      <c r="M264" s="170"/>
      <c r="N264" s="169"/>
      <c r="O264" s="169"/>
      <c r="P264" s="169"/>
      <c r="Q264" s="169"/>
      <c r="R264" s="169"/>
      <c r="S264" s="91"/>
    </row>
    <row r="265" spans="1:19" ht="21.75">
      <c r="A265" s="167"/>
      <c r="B265" s="251" t="s">
        <v>448</v>
      </c>
      <c r="C265" s="157">
        <v>2</v>
      </c>
      <c r="D265" s="167" t="s">
        <v>75</v>
      </c>
      <c r="E265" s="157">
        <v>9500</v>
      </c>
      <c r="F265" s="157">
        <f t="shared" si="24"/>
        <v>19000</v>
      </c>
      <c r="G265" s="157">
        <v>2500</v>
      </c>
      <c r="H265" s="157">
        <f t="shared" si="25"/>
        <v>5000</v>
      </c>
      <c r="I265" s="157">
        <f t="shared" si="26"/>
        <v>24000</v>
      </c>
      <c r="J265" s="329"/>
      <c r="K265" s="91"/>
      <c r="L265" s="91"/>
      <c r="M265" s="91"/>
      <c r="N265" s="91"/>
      <c r="O265" s="91"/>
      <c r="P265" s="91"/>
      <c r="Q265" s="91"/>
      <c r="R265" s="91"/>
      <c r="S265" s="91"/>
    </row>
    <row r="266" spans="1:19" ht="21.75">
      <c r="A266" s="167"/>
      <c r="B266" s="251" t="s">
        <v>514</v>
      </c>
      <c r="C266" s="157">
        <v>1</v>
      </c>
      <c r="D266" s="167" t="s">
        <v>75</v>
      </c>
      <c r="E266" s="157">
        <v>250</v>
      </c>
      <c r="F266" s="157">
        <f t="shared" si="24"/>
        <v>250</v>
      </c>
      <c r="G266" s="157">
        <v>150</v>
      </c>
      <c r="H266" s="157">
        <f t="shared" si="25"/>
        <v>150</v>
      </c>
      <c r="I266" s="157">
        <f t="shared" si="26"/>
        <v>400</v>
      </c>
      <c r="J266" s="329"/>
      <c r="K266" s="91"/>
      <c r="L266" s="91"/>
      <c r="M266" s="91"/>
      <c r="N266" s="91"/>
      <c r="O266" s="91"/>
      <c r="P266" s="91"/>
      <c r="Q266" s="91"/>
      <c r="R266" s="91"/>
      <c r="S266" s="91"/>
    </row>
    <row r="267" spans="1:10" ht="21.75">
      <c r="A267" s="167"/>
      <c r="B267" s="358" t="s">
        <v>270</v>
      </c>
      <c r="C267" s="157"/>
      <c r="D267" s="167"/>
      <c r="E267" s="157"/>
      <c r="F267" s="157"/>
      <c r="G267" s="157"/>
      <c r="H267" s="157"/>
      <c r="I267" s="157"/>
      <c r="J267" s="329"/>
    </row>
    <row r="268" spans="1:10" s="292" customFormat="1" ht="21.75">
      <c r="A268" s="167"/>
      <c r="B268" s="365" t="s">
        <v>561</v>
      </c>
      <c r="C268" s="156">
        <v>117</v>
      </c>
      <c r="D268" s="162" t="s">
        <v>93</v>
      </c>
      <c r="E268" s="156">
        <v>80</v>
      </c>
      <c r="F268" s="156">
        <f>+C268*E268</f>
        <v>9360</v>
      </c>
      <c r="G268" s="156">
        <v>30</v>
      </c>
      <c r="H268" s="156">
        <f>+G268*C268</f>
        <v>3510</v>
      </c>
      <c r="I268" s="156">
        <f>+F268+H268</f>
        <v>12870</v>
      </c>
      <c r="J268" s="329"/>
    </row>
    <row r="269" spans="1:10" s="292" customFormat="1" ht="21.75">
      <c r="A269" s="332"/>
      <c r="B269" s="257" t="s">
        <v>511</v>
      </c>
      <c r="C269" s="163">
        <v>216.85</v>
      </c>
      <c r="D269" s="332" t="s">
        <v>93</v>
      </c>
      <c r="E269" s="163">
        <v>45</v>
      </c>
      <c r="F269" s="163">
        <f>+C269*E269</f>
        <v>9758.25</v>
      </c>
      <c r="G269" s="163">
        <v>30</v>
      </c>
      <c r="H269" s="163">
        <f>+G269*C269</f>
        <v>6505.5</v>
      </c>
      <c r="I269" s="163">
        <f>+F269+H269</f>
        <v>16263.75</v>
      </c>
      <c r="J269" s="329"/>
    </row>
    <row r="270" spans="1:10" ht="21.75">
      <c r="A270" s="363"/>
      <c r="B270" s="354" t="s">
        <v>434</v>
      </c>
      <c r="C270" s="239"/>
      <c r="D270" s="363"/>
      <c r="E270" s="239"/>
      <c r="F270" s="239"/>
      <c r="G270" s="239"/>
      <c r="H270" s="239"/>
      <c r="I270" s="239"/>
      <c r="J270" s="329"/>
    </row>
    <row r="271" spans="1:10" s="297" customFormat="1" ht="66.75" customHeight="1">
      <c r="A271" s="167"/>
      <c r="B271" s="361" t="s">
        <v>531</v>
      </c>
      <c r="C271" s="156">
        <v>45.4</v>
      </c>
      <c r="D271" s="162" t="s">
        <v>93</v>
      </c>
      <c r="E271" s="156">
        <v>570</v>
      </c>
      <c r="F271" s="156">
        <f>+C271*E271</f>
        <v>25878</v>
      </c>
      <c r="G271" s="156">
        <v>130</v>
      </c>
      <c r="H271" s="156">
        <f>+G271*C271</f>
        <v>5902</v>
      </c>
      <c r="I271" s="156">
        <f>+F271+H271</f>
        <v>31780</v>
      </c>
      <c r="J271" s="329"/>
    </row>
    <row r="272" spans="1:10" ht="21.75">
      <c r="A272" s="167"/>
      <c r="B272" s="251" t="s">
        <v>529</v>
      </c>
      <c r="C272" s="157">
        <v>1</v>
      </c>
      <c r="D272" s="167" t="s">
        <v>75</v>
      </c>
      <c r="E272" s="157">
        <v>57000</v>
      </c>
      <c r="F272" s="157">
        <f>+C272*E272</f>
        <v>57000</v>
      </c>
      <c r="G272" s="157">
        <v>0</v>
      </c>
      <c r="H272" s="157">
        <f>+G272*C272</f>
        <v>0</v>
      </c>
      <c r="I272" s="157">
        <f>+F272+H272</f>
        <v>57000</v>
      </c>
      <c r="J272" s="329"/>
    </row>
    <row r="273" spans="1:15" ht="21.75">
      <c r="A273" s="167"/>
      <c r="B273" s="358" t="s">
        <v>273</v>
      </c>
      <c r="C273" s="157"/>
      <c r="D273" s="167"/>
      <c r="E273" s="157"/>
      <c r="F273" s="157"/>
      <c r="G273" s="157"/>
      <c r="H273" s="157"/>
      <c r="I273" s="157"/>
      <c r="J273" s="329"/>
      <c r="K273" s="91"/>
      <c r="L273" s="91"/>
      <c r="M273" s="91"/>
      <c r="N273" s="91"/>
      <c r="O273" s="91"/>
    </row>
    <row r="274" spans="1:15" ht="21.75">
      <c r="A274" s="167"/>
      <c r="B274" s="251" t="s">
        <v>362</v>
      </c>
      <c r="C274" s="157">
        <v>3</v>
      </c>
      <c r="D274" s="167" t="s">
        <v>75</v>
      </c>
      <c r="E274" s="157">
        <v>4900</v>
      </c>
      <c r="F274" s="157">
        <f aca="true" t="shared" si="27" ref="F274:F281">+C274*E274</f>
        <v>14700</v>
      </c>
      <c r="G274" s="157">
        <v>450</v>
      </c>
      <c r="H274" s="157">
        <f aca="true" t="shared" si="28" ref="H274:H281">+G274*C274</f>
        <v>1350</v>
      </c>
      <c r="I274" s="157">
        <f aca="true" t="shared" si="29" ref="I274:I281">+F274+H274</f>
        <v>16050</v>
      </c>
      <c r="J274" s="329"/>
      <c r="K274" s="168"/>
      <c r="L274" s="91"/>
      <c r="M274" s="91"/>
      <c r="N274" s="91"/>
      <c r="O274" s="91"/>
    </row>
    <row r="275" spans="1:15" ht="21.75">
      <c r="A275" s="167"/>
      <c r="B275" s="251" t="s">
        <v>613</v>
      </c>
      <c r="C275" s="157">
        <v>3</v>
      </c>
      <c r="D275" s="167" t="s">
        <v>75</v>
      </c>
      <c r="E275" s="157">
        <v>650</v>
      </c>
      <c r="F275" s="157">
        <f t="shared" si="27"/>
        <v>1950</v>
      </c>
      <c r="G275" s="157">
        <v>70</v>
      </c>
      <c r="H275" s="157">
        <f t="shared" si="28"/>
        <v>210</v>
      </c>
      <c r="I275" s="157">
        <f t="shared" si="29"/>
        <v>2160</v>
      </c>
      <c r="J275" s="329"/>
      <c r="K275" s="171"/>
      <c r="L275" s="91"/>
      <c r="M275" s="91"/>
      <c r="N275" s="91"/>
      <c r="O275" s="91"/>
    </row>
    <row r="276" spans="1:15" ht="44.25" customHeight="1">
      <c r="A276" s="167"/>
      <c r="B276" s="361" t="s">
        <v>363</v>
      </c>
      <c r="C276" s="156">
        <v>2</v>
      </c>
      <c r="D276" s="162" t="s">
        <v>75</v>
      </c>
      <c r="E276" s="156">
        <v>3000</v>
      </c>
      <c r="F276" s="156">
        <f t="shared" si="27"/>
        <v>6000</v>
      </c>
      <c r="G276" s="156">
        <v>170</v>
      </c>
      <c r="H276" s="156">
        <f t="shared" si="28"/>
        <v>340</v>
      </c>
      <c r="I276" s="156">
        <f t="shared" si="29"/>
        <v>6340</v>
      </c>
      <c r="J276" s="329"/>
      <c r="K276" s="171"/>
      <c r="L276" s="91"/>
      <c r="M276" s="91"/>
      <c r="N276" s="91"/>
      <c r="O276" s="91"/>
    </row>
    <row r="277" spans="1:15" ht="21.75" customHeight="1">
      <c r="A277" s="167"/>
      <c r="B277" s="361" t="s">
        <v>610</v>
      </c>
      <c r="C277" s="156">
        <v>2</v>
      </c>
      <c r="D277" s="162" t="s">
        <v>75</v>
      </c>
      <c r="E277" s="156">
        <v>600</v>
      </c>
      <c r="F277" s="156">
        <f>+C277*E277</f>
        <v>1200</v>
      </c>
      <c r="G277" s="156">
        <v>70</v>
      </c>
      <c r="H277" s="156">
        <f>+G277*C277</f>
        <v>140</v>
      </c>
      <c r="I277" s="156">
        <f>+F277+H277</f>
        <v>1340</v>
      </c>
      <c r="J277" s="329"/>
      <c r="K277" s="171"/>
      <c r="L277" s="91"/>
      <c r="M277" s="91"/>
      <c r="N277" s="91"/>
      <c r="O277" s="91"/>
    </row>
    <row r="278" spans="1:15" ht="21.75">
      <c r="A278" s="167"/>
      <c r="B278" s="251" t="s">
        <v>614</v>
      </c>
      <c r="C278" s="156">
        <v>1</v>
      </c>
      <c r="D278" s="162" t="s">
        <v>101</v>
      </c>
      <c r="E278" s="156">
        <v>450</v>
      </c>
      <c r="F278" s="156">
        <f t="shared" si="27"/>
        <v>450</v>
      </c>
      <c r="G278" s="156">
        <v>75</v>
      </c>
      <c r="H278" s="156">
        <f t="shared" si="28"/>
        <v>75</v>
      </c>
      <c r="I278" s="156">
        <f t="shared" si="29"/>
        <v>525</v>
      </c>
      <c r="J278" s="329"/>
      <c r="K278" s="168"/>
      <c r="L278" s="91"/>
      <c r="M278" s="91"/>
      <c r="N278" s="91"/>
      <c r="O278" s="91"/>
    </row>
    <row r="279" spans="1:15" s="297" customFormat="1" ht="21.75">
      <c r="A279" s="167"/>
      <c r="B279" s="251" t="s">
        <v>636</v>
      </c>
      <c r="C279" s="157">
        <v>3</v>
      </c>
      <c r="D279" s="167" t="s">
        <v>75</v>
      </c>
      <c r="E279" s="157">
        <v>18000</v>
      </c>
      <c r="F279" s="157">
        <f t="shared" si="27"/>
        <v>54000</v>
      </c>
      <c r="G279" s="157">
        <v>900</v>
      </c>
      <c r="H279" s="157">
        <f t="shared" si="28"/>
        <v>2700</v>
      </c>
      <c r="I279" s="157">
        <f t="shared" si="29"/>
        <v>56700</v>
      </c>
      <c r="J279" s="329"/>
      <c r="K279" s="298"/>
      <c r="L279" s="296"/>
      <c r="M279" s="296"/>
      <c r="N279" s="296"/>
      <c r="O279" s="296"/>
    </row>
    <row r="280" spans="1:15" ht="43.5">
      <c r="A280" s="167"/>
      <c r="B280" s="365" t="s">
        <v>637</v>
      </c>
      <c r="C280" s="156">
        <v>2</v>
      </c>
      <c r="D280" s="162" t="s">
        <v>75</v>
      </c>
      <c r="E280" s="156">
        <v>18000</v>
      </c>
      <c r="F280" s="156">
        <f t="shared" si="27"/>
        <v>36000</v>
      </c>
      <c r="G280" s="156">
        <v>900</v>
      </c>
      <c r="H280" s="156">
        <f t="shared" si="28"/>
        <v>1800</v>
      </c>
      <c r="I280" s="156">
        <f t="shared" si="29"/>
        <v>37800</v>
      </c>
      <c r="J280" s="329"/>
      <c r="K280" s="168"/>
      <c r="L280" s="91"/>
      <c r="M280" s="91"/>
      <c r="N280" s="91"/>
      <c r="O280" s="91"/>
    </row>
    <row r="281" spans="1:15" ht="21.75">
      <c r="A281" s="167"/>
      <c r="B281" s="251" t="s">
        <v>605</v>
      </c>
      <c r="C281" s="157">
        <v>2</v>
      </c>
      <c r="D281" s="167" t="s">
        <v>75</v>
      </c>
      <c r="E281" s="157">
        <v>1800</v>
      </c>
      <c r="F281" s="157">
        <f t="shared" si="27"/>
        <v>3600</v>
      </c>
      <c r="G281" s="157">
        <v>70</v>
      </c>
      <c r="H281" s="157">
        <f t="shared" si="28"/>
        <v>140</v>
      </c>
      <c r="I281" s="157">
        <f t="shared" si="29"/>
        <v>3740</v>
      </c>
      <c r="J281" s="329"/>
      <c r="K281" s="168"/>
      <c r="L281" s="91"/>
      <c r="M281" s="91"/>
      <c r="N281" s="91"/>
      <c r="O281" s="91"/>
    </row>
    <row r="282" spans="1:15" ht="21.75">
      <c r="A282" s="332"/>
      <c r="B282" s="259" t="s">
        <v>357</v>
      </c>
      <c r="C282" s="599">
        <v>6</v>
      </c>
      <c r="D282" s="332" t="s">
        <v>75</v>
      </c>
      <c r="E282" s="163">
        <v>2200</v>
      </c>
      <c r="F282" s="163">
        <f>+C282*E282</f>
        <v>13200</v>
      </c>
      <c r="G282" s="163">
        <v>70</v>
      </c>
      <c r="H282" s="163">
        <f>+G282*C282</f>
        <v>420</v>
      </c>
      <c r="I282" s="163">
        <f>+F282+H282</f>
        <v>13620</v>
      </c>
      <c r="J282" s="329"/>
      <c r="K282" s="172"/>
      <c r="L282" s="91"/>
      <c r="M282" s="91"/>
      <c r="N282" s="91"/>
      <c r="O282" s="91"/>
    </row>
    <row r="283" spans="1:15" ht="21.75">
      <c r="A283" s="363"/>
      <c r="B283" s="364" t="s">
        <v>433</v>
      </c>
      <c r="C283" s="239">
        <v>2</v>
      </c>
      <c r="D283" s="363" t="s">
        <v>75</v>
      </c>
      <c r="E283" s="239">
        <v>1600</v>
      </c>
      <c r="F283" s="239">
        <f>+C283*E283</f>
        <v>3200</v>
      </c>
      <c r="G283" s="239">
        <v>70</v>
      </c>
      <c r="H283" s="239">
        <f>+G283*C283</f>
        <v>140</v>
      </c>
      <c r="I283" s="239">
        <f>+F283+H283</f>
        <v>3340</v>
      </c>
      <c r="J283" s="329"/>
      <c r="K283" s="168"/>
      <c r="L283" s="91"/>
      <c r="M283" s="91"/>
      <c r="N283" s="91"/>
      <c r="O283" s="91"/>
    </row>
    <row r="284" spans="1:15" ht="42.75" customHeight="1">
      <c r="A284" s="167"/>
      <c r="B284" s="365" t="s">
        <v>452</v>
      </c>
      <c r="C284" s="156">
        <v>2.55</v>
      </c>
      <c r="D284" s="162" t="s">
        <v>181</v>
      </c>
      <c r="E284" s="156">
        <v>1450</v>
      </c>
      <c r="F284" s="156">
        <f>+C284*E284</f>
        <v>3697.4999999999995</v>
      </c>
      <c r="G284" s="156">
        <v>0</v>
      </c>
      <c r="H284" s="156">
        <f>+G284*C284</f>
        <v>0</v>
      </c>
      <c r="I284" s="156">
        <f>+F284+H284</f>
        <v>3697.4999999999995</v>
      </c>
      <c r="J284" s="329"/>
      <c r="K284" s="169"/>
      <c r="L284" s="91"/>
      <c r="M284" s="91"/>
      <c r="N284" s="91"/>
      <c r="O284" s="91"/>
    </row>
    <row r="285" spans="1:15" ht="21.75" customHeight="1">
      <c r="A285" s="167"/>
      <c r="B285" s="251" t="s">
        <v>449</v>
      </c>
      <c r="C285" s="157">
        <v>3</v>
      </c>
      <c r="D285" s="167" t="s">
        <v>75</v>
      </c>
      <c r="E285" s="157">
        <v>150</v>
      </c>
      <c r="F285" s="157">
        <f>+C285*E285</f>
        <v>450</v>
      </c>
      <c r="G285" s="157">
        <v>75</v>
      </c>
      <c r="H285" s="157">
        <f>+G285*C285</f>
        <v>225</v>
      </c>
      <c r="I285" s="157">
        <f>+F285+H285</f>
        <v>675</v>
      </c>
      <c r="J285" s="329"/>
      <c r="K285" s="210"/>
      <c r="L285" s="91"/>
      <c r="M285" s="91"/>
      <c r="N285" s="91"/>
      <c r="O285" s="91"/>
    </row>
    <row r="286" spans="1:15" s="297" customFormat="1" ht="21.75" customHeight="1">
      <c r="A286" s="167"/>
      <c r="B286" s="251" t="s">
        <v>567</v>
      </c>
      <c r="C286" s="156">
        <v>68.3</v>
      </c>
      <c r="D286" s="162" t="s">
        <v>181</v>
      </c>
      <c r="E286" s="156">
        <v>30</v>
      </c>
      <c r="F286" s="156">
        <f>+C286*E286</f>
        <v>2049</v>
      </c>
      <c r="G286" s="156">
        <v>25</v>
      </c>
      <c r="H286" s="156">
        <f>+G286*C286</f>
        <v>1707.5</v>
      </c>
      <c r="I286" s="156">
        <f>+F286+H286</f>
        <v>3756.5</v>
      </c>
      <c r="J286" s="330"/>
      <c r="K286" s="298"/>
      <c r="L286" s="296"/>
      <c r="M286" s="296"/>
      <c r="N286" s="296"/>
      <c r="O286" s="296"/>
    </row>
    <row r="287" spans="1:10" ht="42" customHeight="1">
      <c r="A287" s="235"/>
      <c r="B287" s="371" t="s">
        <v>276</v>
      </c>
      <c r="C287" s="372"/>
      <c r="D287" s="372"/>
      <c r="E287" s="372"/>
      <c r="F287" s="228">
        <f>SUM(F242:F286)</f>
        <v>402679.29000000004</v>
      </c>
      <c r="G287" s="372"/>
      <c r="H287" s="228">
        <f>SUM(H242:H286)</f>
        <v>84828.25</v>
      </c>
      <c r="I287" s="228">
        <f>SUM(I242:I286)</f>
        <v>487507.54</v>
      </c>
      <c r="J287" s="329"/>
    </row>
    <row r="288" spans="1:10" ht="42.75" customHeight="1">
      <c r="A288" s="385">
        <v>1.1</v>
      </c>
      <c r="B288" s="367" t="s">
        <v>584</v>
      </c>
      <c r="C288" s="231"/>
      <c r="D288" s="231"/>
      <c r="E288" s="231"/>
      <c r="F288" s="155"/>
      <c r="G288" s="231"/>
      <c r="H288" s="155"/>
      <c r="I288" s="155"/>
      <c r="J288" s="329"/>
    </row>
    <row r="289" spans="1:10" ht="21.75">
      <c r="A289" s="235"/>
      <c r="B289" s="358" t="s">
        <v>92</v>
      </c>
      <c r="C289" s="231"/>
      <c r="D289" s="231"/>
      <c r="E289" s="231"/>
      <c r="F289" s="155"/>
      <c r="G289" s="231"/>
      <c r="H289" s="155"/>
      <c r="I289" s="155"/>
      <c r="J289" s="329"/>
    </row>
    <row r="290" spans="1:10" ht="21.75">
      <c r="A290" s="167"/>
      <c r="B290" s="251" t="s">
        <v>384</v>
      </c>
      <c r="C290" s="157">
        <v>106</v>
      </c>
      <c r="D290" s="167" t="s">
        <v>93</v>
      </c>
      <c r="E290" s="157">
        <v>0</v>
      </c>
      <c r="F290" s="157">
        <f>+C290*E290</f>
        <v>0</v>
      </c>
      <c r="G290" s="157">
        <v>30</v>
      </c>
      <c r="H290" s="157">
        <f>+G290*C290</f>
        <v>3180</v>
      </c>
      <c r="I290" s="157">
        <f>+F290+H290</f>
        <v>3180</v>
      </c>
      <c r="J290" s="329"/>
    </row>
    <row r="291" spans="1:10" ht="21.75">
      <c r="A291" s="167"/>
      <c r="B291" s="251" t="s">
        <v>369</v>
      </c>
      <c r="C291" s="157">
        <v>2</v>
      </c>
      <c r="D291" s="167" t="s">
        <v>75</v>
      </c>
      <c r="E291" s="157">
        <v>0</v>
      </c>
      <c r="F291" s="157">
        <f>+C291*E291</f>
        <v>0</v>
      </c>
      <c r="G291" s="157">
        <v>300</v>
      </c>
      <c r="H291" s="157">
        <f>+G291*C291</f>
        <v>600</v>
      </c>
      <c r="I291" s="157">
        <f>+F291+H291</f>
        <v>600</v>
      </c>
      <c r="J291" s="329"/>
    </row>
    <row r="292" spans="1:10" ht="21.75">
      <c r="A292" s="167"/>
      <c r="B292" s="251" t="s">
        <v>296</v>
      </c>
      <c r="C292" s="157">
        <v>71.8</v>
      </c>
      <c r="D292" s="167" t="s">
        <v>93</v>
      </c>
      <c r="E292" s="157">
        <v>0</v>
      </c>
      <c r="F292" s="157">
        <f>+C292*E292</f>
        <v>0</v>
      </c>
      <c r="G292" s="157">
        <v>25</v>
      </c>
      <c r="H292" s="157">
        <f>+G292*C292</f>
        <v>1795</v>
      </c>
      <c r="I292" s="157">
        <f>+F292+H292</f>
        <v>1795</v>
      </c>
      <c r="J292" s="329"/>
    </row>
    <row r="293" spans="1:10" ht="21.75">
      <c r="A293" s="235"/>
      <c r="B293" s="358" t="s">
        <v>250</v>
      </c>
      <c r="C293" s="155"/>
      <c r="D293" s="235"/>
      <c r="E293" s="155"/>
      <c r="F293" s="155"/>
      <c r="G293" s="155"/>
      <c r="H293" s="155"/>
      <c r="I293" s="155"/>
      <c r="J293" s="329"/>
    </row>
    <row r="294" spans="1:10" ht="21.75">
      <c r="A294" s="167"/>
      <c r="B294" s="358" t="s">
        <v>259</v>
      </c>
      <c r="C294" s="157"/>
      <c r="D294" s="167"/>
      <c r="E294" s="157"/>
      <c r="F294" s="157"/>
      <c r="G294" s="157"/>
      <c r="H294" s="157"/>
      <c r="I294" s="157"/>
      <c r="J294" s="329"/>
    </row>
    <row r="295" spans="1:10" ht="21.75">
      <c r="A295" s="167"/>
      <c r="B295" s="252" t="s">
        <v>317</v>
      </c>
      <c r="C295" s="157">
        <v>13.3</v>
      </c>
      <c r="D295" s="167" t="s">
        <v>93</v>
      </c>
      <c r="E295" s="157">
        <v>0</v>
      </c>
      <c r="F295" s="157">
        <f>+C295*E295</f>
        <v>0</v>
      </c>
      <c r="G295" s="157">
        <v>120</v>
      </c>
      <c r="H295" s="157">
        <f>+G295*C295</f>
        <v>1596</v>
      </c>
      <c r="I295" s="157">
        <f>+F295+H295</f>
        <v>1596</v>
      </c>
      <c r="J295" s="329"/>
    </row>
    <row r="296" spans="1:10" ht="21.75">
      <c r="A296" s="332"/>
      <c r="B296" s="258" t="s">
        <v>520</v>
      </c>
      <c r="C296" s="232">
        <v>13.3</v>
      </c>
      <c r="D296" s="261" t="s">
        <v>93</v>
      </c>
      <c r="E296" s="232">
        <v>450</v>
      </c>
      <c r="F296" s="232">
        <f>+C296*E296</f>
        <v>5985</v>
      </c>
      <c r="G296" s="232">
        <v>222</v>
      </c>
      <c r="H296" s="232">
        <f>+G296*C296</f>
        <v>2952.6000000000004</v>
      </c>
      <c r="I296" s="232">
        <f>+F296+H296</f>
        <v>8937.6</v>
      </c>
      <c r="J296" s="329"/>
    </row>
    <row r="297" spans="1:10" ht="21.75">
      <c r="A297" s="363"/>
      <c r="B297" s="354" t="s">
        <v>275</v>
      </c>
      <c r="C297" s="239"/>
      <c r="D297" s="363"/>
      <c r="E297" s="239"/>
      <c r="F297" s="239"/>
      <c r="G297" s="239"/>
      <c r="H297" s="239"/>
      <c r="I297" s="239"/>
      <c r="J297" s="329"/>
    </row>
    <row r="298" spans="1:10" ht="40.5" customHeight="1">
      <c r="A298" s="167"/>
      <c r="B298" s="361" t="s">
        <v>309</v>
      </c>
      <c r="C298" s="156">
        <v>140</v>
      </c>
      <c r="D298" s="162" t="s">
        <v>93</v>
      </c>
      <c r="E298" s="156">
        <v>273</v>
      </c>
      <c r="F298" s="156">
        <f>+C298*E298</f>
        <v>38220</v>
      </c>
      <c r="G298" s="156">
        <v>56</v>
      </c>
      <c r="H298" s="156">
        <f>+G298*C298</f>
        <v>7840</v>
      </c>
      <c r="I298" s="156">
        <f>+F298+H298</f>
        <v>46060</v>
      </c>
      <c r="J298" s="329"/>
    </row>
    <row r="299" spans="1:10" ht="21.75" customHeight="1">
      <c r="A299" s="167"/>
      <c r="B299" s="361" t="s">
        <v>525</v>
      </c>
      <c r="C299" s="156">
        <v>49.8</v>
      </c>
      <c r="D299" s="162" t="s">
        <v>93</v>
      </c>
      <c r="E299" s="156">
        <v>470</v>
      </c>
      <c r="F299" s="156">
        <f>+C299*E299</f>
        <v>23406</v>
      </c>
      <c r="G299" s="156">
        <v>190</v>
      </c>
      <c r="H299" s="156">
        <f>+G299*C299</f>
        <v>9462</v>
      </c>
      <c r="I299" s="156">
        <f>+F299+H299</f>
        <v>32868</v>
      </c>
      <c r="J299" s="329"/>
    </row>
    <row r="300" spans="1:10" ht="21.75" customHeight="1">
      <c r="A300" s="167"/>
      <c r="B300" s="251" t="s">
        <v>365</v>
      </c>
      <c r="C300" s="157">
        <v>206.05</v>
      </c>
      <c r="D300" s="167" t="s">
        <v>93</v>
      </c>
      <c r="E300" s="157">
        <v>75</v>
      </c>
      <c r="F300" s="157">
        <f>+C300*E300</f>
        <v>15453.75</v>
      </c>
      <c r="G300" s="157">
        <v>87</v>
      </c>
      <c r="H300" s="157">
        <f>+G300*C300</f>
        <v>17926.350000000002</v>
      </c>
      <c r="I300" s="157">
        <f>+F300+H300</f>
        <v>33380.100000000006</v>
      </c>
      <c r="J300" s="329"/>
    </row>
    <row r="301" spans="1:10" ht="21.75" customHeight="1">
      <c r="A301" s="167"/>
      <c r="B301" s="251" t="s">
        <v>414</v>
      </c>
      <c r="C301" s="157">
        <v>23.15</v>
      </c>
      <c r="D301" s="167" t="s">
        <v>181</v>
      </c>
      <c r="E301" s="157">
        <v>70</v>
      </c>
      <c r="F301" s="157">
        <f>+C301*E301</f>
        <v>1620.5</v>
      </c>
      <c r="G301" s="157">
        <v>40</v>
      </c>
      <c r="H301" s="157">
        <f>+G301*C301</f>
        <v>926</v>
      </c>
      <c r="I301" s="157">
        <f>+F301+H301</f>
        <v>2546.5</v>
      </c>
      <c r="J301" s="329"/>
    </row>
    <row r="302" spans="1:10" ht="21.75" customHeight="1">
      <c r="A302" s="167"/>
      <c r="B302" s="358" t="s">
        <v>260</v>
      </c>
      <c r="C302" s="157"/>
      <c r="D302" s="167"/>
      <c r="E302" s="157"/>
      <c r="F302" s="157"/>
      <c r="G302" s="157"/>
      <c r="H302" s="157"/>
      <c r="I302" s="157"/>
      <c r="J302" s="329"/>
    </row>
    <row r="303" spans="1:10" ht="44.25" customHeight="1">
      <c r="A303" s="167"/>
      <c r="B303" s="361" t="s">
        <v>507</v>
      </c>
      <c r="C303" s="156">
        <v>58.5</v>
      </c>
      <c r="D303" s="162" t="s">
        <v>93</v>
      </c>
      <c r="E303" s="156">
        <v>280</v>
      </c>
      <c r="F303" s="156">
        <f>+C303*E303</f>
        <v>16380</v>
      </c>
      <c r="G303" s="156">
        <v>75</v>
      </c>
      <c r="H303" s="156">
        <f>+G303*C303</f>
        <v>4387.5</v>
      </c>
      <c r="I303" s="156">
        <f>+F303+H303</f>
        <v>20767.5</v>
      </c>
      <c r="J303" s="329"/>
    </row>
    <row r="304" spans="1:10" ht="41.25" customHeight="1">
      <c r="A304" s="167"/>
      <c r="B304" s="386" t="s">
        <v>506</v>
      </c>
      <c r="C304" s="156">
        <v>13.3</v>
      </c>
      <c r="D304" s="162" t="s">
        <v>93</v>
      </c>
      <c r="E304" s="156">
        <v>320</v>
      </c>
      <c r="F304" s="156">
        <f>+C304*E304</f>
        <v>4256</v>
      </c>
      <c r="G304" s="156">
        <v>75</v>
      </c>
      <c r="H304" s="156">
        <f>+G304*C304</f>
        <v>997.5</v>
      </c>
      <c r="I304" s="156">
        <f>+F304+H304</f>
        <v>5253.5</v>
      </c>
      <c r="J304" s="329"/>
    </row>
    <row r="305" spans="1:10" ht="21.75">
      <c r="A305" s="167"/>
      <c r="B305" s="358" t="s">
        <v>261</v>
      </c>
      <c r="C305" s="157"/>
      <c r="D305" s="167"/>
      <c r="E305" s="157"/>
      <c r="F305" s="157"/>
      <c r="G305" s="157"/>
      <c r="H305" s="157"/>
      <c r="I305" s="157"/>
      <c r="J305" s="329"/>
    </row>
    <row r="306" spans="1:10" ht="21.75">
      <c r="A306" s="167"/>
      <c r="B306" s="251" t="s">
        <v>336</v>
      </c>
      <c r="C306" s="157">
        <v>2</v>
      </c>
      <c r="D306" s="167" t="s">
        <v>75</v>
      </c>
      <c r="E306" s="157">
        <v>7900</v>
      </c>
      <c r="F306" s="157">
        <f>+C306*E306</f>
        <v>15800</v>
      </c>
      <c r="G306" s="157">
        <v>1200</v>
      </c>
      <c r="H306" s="157">
        <f>+G306*C306</f>
        <v>2400</v>
      </c>
      <c r="I306" s="157">
        <f>+F306+H306</f>
        <v>18200</v>
      </c>
      <c r="J306" s="329"/>
    </row>
    <row r="307" spans="1:10" ht="21.75">
      <c r="A307" s="167"/>
      <c r="B307" s="251" t="s">
        <v>366</v>
      </c>
      <c r="C307" s="157">
        <v>2</v>
      </c>
      <c r="D307" s="167" t="s">
        <v>75</v>
      </c>
      <c r="E307" s="157">
        <v>7500</v>
      </c>
      <c r="F307" s="157">
        <f>+C307*E307</f>
        <v>15000</v>
      </c>
      <c r="G307" s="157">
        <v>1100</v>
      </c>
      <c r="H307" s="157">
        <f>+G307*C307</f>
        <v>2200</v>
      </c>
      <c r="I307" s="157">
        <f>+F307+H307</f>
        <v>17200</v>
      </c>
      <c r="J307" s="329"/>
    </row>
    <row r="308" spans="1:10" ht="21.75">
      <c r="A308" s="167"/>
      <c r="B308" s="251" t="s">
        <v>367</v>
      </c>
      <c r="C308" s="157">
        <v>2</v>
      </c>
      <c r="D308" s="167" t="s">
        <v>75</v>
      </c>
      <c r="E308" s="157">
        <v>2000</v>
      </c>
      <c r="F308" s="157">
        <f>+C308*E308</f>
        <v>4000</v>
      </c>
      <c r="G308" s="157">
        <v>200</v>
      </c>
      <c r="H308" s="157">
        <f>+G308*C308</f>
        <v>400</v>
      </c>
      <c r="I308" s="157">
        <f>+F308+H308</f>
        <v>4400</v>
      </c>
      <c r="J308" s="329"/>
    </row>
    <row r="309" spans="1:10" ht="21.75">
      <c r="A309" s="167"/>
      <c r="B309" s="251" t="s">
        <v>516</v>
      </c>
      <c r="C309" s="157">
        <v>2</v>
      </c>
      <c r="D309" s="167" t="s">
        <v>75</v>
      </c>
      <c r="E309" s="157">
        <v>15400</v>
      </c>
      <c r="F309" s="157">
        <f>+C309*E309</f>
        <v>30800</v>
      </c>
      <c r="G309" s="157">
        <v>400</v>
      </c>
      <c r="H309" s="157">
        <f>+G309*C309</f>
        <v>800</v>
      </c>
      <c r="I309" s="157">
        <f>+F309+H309</f>
        <v>31600</v>
      </c>
      <c r="J309" s="329"/>
    </row>
    <row r="310" spans="1:10" ht="21.75">
      <c r="A310" s="332"/>
      <c r="B310" s="259" t="s">
        <v>517</v>
      </c>
      <c r="C310" s="163">
        <v>2</v>
      </c>
      <c r="D310" s="332" t="s">
        <v>75</v>
      </c>
      <c r="E310" s="163">
        <v>250</v>
      </c>
      <c r="F310" s="163">
        <f>+C310*E310</f>
        <v>500</v>
      </c>
      <c r="G310" s="163">
        <v>150</v>
      </c>
      <c r="H310" s="163">
        <f>+G310*C310</f>
        <v>300</v>
      </c>
      <c r="I310" s="163">
        <f>+F310+H310</f>
        <v>800</v>
      </c>
      <c r="J310" s="329"/>
    </row>
    <row r="311" spans="1:10" ht="21.75">
      <c r="A311" s="363"/>
      <c r="B311" s="354" t="s">
        <v>266</v>
      </c>
      <c r="C311" s="239"/>
      <c r="D311" s="363"/>
      <c r="E311" s="239"/>
      <c r="F311" s="239"/>
      <c r="G311" s="239"/>
      <c r="H311" s="239"/>
      <c r="I311" s="239"/>
      <c r="J311" s="329"/>
    </row>
    <row r="312" spans="1:10" s="292" customFormat="1" ht="21.75">
      <c r="A312" s="167"/>
      <c r="B312" s="365" t="s">
        <v>560</v>
      </c>
      <c r="C312" s="156">
        <v>137.1</v>
      </c>
      <c r="D312" s="162" t="s">
        <v>93</v>
      </c>
      <c r="E312" s="156">
        <v>80</v>
      </c>
      <c r="F312" s="156">
        <f>+C312*E312</f>
        <v>10968</v>
      </c>
      <c r="G312" s="156">
        <v>30</v>
      </c>
      <c r="H312" s="156">
        <f>+G312*C312</f>
        <v>4113</v>
      </c>
      <c r="I312" s="156">
        <f>+F312+H312</f>
        <v>15081</v>
      </c>
      <c r="J312" s="329"/>
    </row>
    <row r="313" spans="1:10" s="292" customFormat="1" ht="21.75">
      <c r="A313" s="167"/>
      <c r="B313" s="365" t="s">
        <v>511</v>
      </c>
      <c r="C313" s="157">
        <v>71.8</v>
      </c>
      <c r="D313" s="167" t="s">
        <v>93</v>
      </c>
      <c r="E313" s="157">
        <v>45</v>
      </c>
      <c r="F313" s="157">
        <f>+C313*E313</f>
        <v>3231</v>
      </c>
      <c r="G313" s="157">
        <v>30</v>
      </c>
      <c r="H313" s="157">
        <f>+G313*C313</f>
        <v>2154</v>
      </c>
      <c r="I313" s="157">
        <f>+F313+H313</f>
        <v>5385</v>
      </c>
      <c r="J313" s="329"/>
    </row>
    <row r="314" spans="1:10" ht="21.75">
      <c r="A314" s="167"/>
      <c r="B314" s="358" t="s">
        <v>273</v>
      </c>
      <c r="C314" s="157"/>
      <c r="D314" s="167"/>
      <c r="E314" s="157"/>
      <c r="F314" s="157"/>
      <c r="G314" s="157"/>
      <c r="H314" s="157"/>
      <c r="I314" s="157"/>
      <c r="J314" s="329"/>
    </row>
    <row r="315" spans="1:10" ht="21.75">
      <c r="A315" s="167"/>
      <c r="B315" s="251" t="s">
        <v>312</v>
      </c>
      <c r="C315" s="157">
        <v>2</v>
      </c>
      <c r="D315" s="167" t="s">
        <v>75</v>
      </c>
      <c r="E315" s="157">
        <v>4900</v>
      </c>
      <c r="F315" s="157">
        <f aca="true" t="shared" si="30" ref="F315:F328">+C315*E315</f>
        <v>9800</v>
      </c>
      <c r="G315" s="157">
        <v>450</v>
      </c>
      <c r="H315" s="157">
        <f aca="true" t="shared" si="31" ref="H315:H328">+G315*C315</f>
        <v>900</v>
      </c>
      <c r="I315" s="157">
        <f aca="true" t="shared" si="32" ref="I315:I328">+F315+H315</f>
        <v>10700</v>
      </c>
      <c r="J315" s="329"/>
    </row>
    <row r="316" spans="1:10" ht="42.75" customHeight="1">
      <c r="A316" s="167"/>
      <c r="B316" s="361" t="s">
        <v>437</v>
      </c>
      <c r="C316" s="156">
        <v>2</v>
      </c>
      <c r="D316" s="162" t="s">
        <v>75</v>
      </c>
      <c r="E316" s="156">
        <v>3800</v>
      </c>
      <c r="F316" s="156">
        <f t="shared" si="30"/>
        <v>7600</v>
      </c>
      <c r="G316" s="156">
        <v>450</v>
      </c>
      <c r="H316" s="156">
        <f t="shared" si="31"/>
        <v>900</v>
      </c>
      <c r="I316" s="156">
        <f t="shared" si="32"/>
        <v>8500</v>
      </c>
      <c r="J316" s="329"/>
    </row>
    <row r="317" spans="1:10" ht="21.75" customHeight="1">
      <c r="A317" s="167"/>
      <c r="B317" s="251" t="s">
        <v>436</v>
      </c>
      <c r="C317" s="157">
        <v>2</v>
      </c>
      <c r="D317" s="167" t="s">
        <v>75</v>
      </c>
      <c r="E317" s="157">
        <v>1200</v>
      </c>
      <c r="F317" s="157">
        <f t="shared" si="30"/>
        <v>2400</v>
      </c>
      <c r="G317" s="157">
        <v>0</v>
      </c>
      <c r="H317" s="157">
        <f t="shared" si="31"/>
        <v>0</v>
      </c>
      <c r="I317" s="157">
        <f t="shared" si="32"/>
        <v>2400</v>
      </c>
      <c r="J317" s="329"/>
    </row>
    <row r="318" spans="1:10" ht="21.75" customHeight="1">
      <c r="A318" s="167"/>
      <c r="B318" s="251" t="s">
        <v>321</v>
      </c>
      <c r="C318" s="157">
        <v>2</v>
      </c>
      <c r="D318" s="167" t="s">
        <v>75</v>
      </c>
      <c r="E318" s="157">
        <v>650</v>
      </c>
      <c r="F318" s="157">
        <f t="shared" si="30"/>
        <v>1300</v>
      </c>
      <c r="G318" s="157">
        <v>80</v>
      </c>
      <c r="H318" s="157">
        <f t="shared" si="31"/>
        <v>160</v>
      </c>
      <c r="I318" s="157">
        <f t="shared" si="32"/>
        <v>1460</v>
      </c>
      <c r="J318" s="329"/>
    </row>
    <row r="319" spans="1:10" ht="21.75" customHeight="1">
      <c r="A319" s="167"/>
      <c r="B319" s="361" t="s">
        <v>610</v>
      </c>
      <c r="C319" s="157">
        <v>2</v>
      </c>
      <c r="D319" s="167" t="s">
        <v>75</v>
      </c>
      <c r="E319" s="157">
        <v>600</v>
      </c>
      <c r="F319" s="157">
        <f>+C319*E319</f>
        <v>1200</v>
      </c>
      <c r="G319" s="157">
        <v>70</v>
      </c>
      <c r="H319" s="157">
        <f>+G319*C319</f>
        <v>140</v>
      </c>
      <c r="I319" s="157">
        <f>+F319+H319</f>
        <v>1340</v>
      </c>
      <c r="J319" s="329"/>
    </row>
    <row r="320" spans="1:10" ht="21.75" customHeight="1">
      <c r="A320" s="167"/>
      <c r="B320" s="251" t="s">
        <v>605</v>
      </c>
      <c r="C320" s="157">
        <v>2</v>
      </c>
      <c r="D320" s="167" t="s">
        <v>75</v>
      </c>
      <c r="E320" s="157">
        <v>1800</v>
      </c>
      <c r="F320" s="157">
        <f t="shared" si="30"/>
        <v>3600</v>
      </c>
      <c r="G320" s="157">
        <v>120</v>
      </c>
      <c r="H320" s="157">
        <f t="shared" si="31"/>
        <v>240</v>
      </c>
      <c r="I320" s="157">
        <f t="shared" si="32"/>
        <v>3840</v>
      </c>
      <c r="J320" s="329"/>
    </row>
    <row r="321" spans="1:10" ht="21.75" customHeight="1">
      <c r="A321" s="167"/>
      <c r="B321" s="251" t="s">
        <v>607</v>
      </c>
      <c r="C321" s="157">
        <v>2</v>
      </c>
      <c r="D321" s="167" t="s">
        <v>75</v>
      </c>
      <c r="E321" s="157">
        <v>650</v>
      </c>
      <c r="F321" s="157">
        <f t="shared" si="30"/>
        <v>1300</v>
      </c>
      <c r="G321" s="157">
        <v>70</v>
      </c>
      <c r="H321" s="157">
        <f t="shared" si="31"/>
        <v>140</v>
      </c>
      <c r="I321" s="157">
        <f t="shared" si="32"/>
        <v>1440</v>
      </c>
      <c r="J321" s="329"/>
    </row>
    <row r="322" spans="1:10" ht="42.75" customHeight="1">
      <c r="A322" s="167"/>
      <c r="B322" s="365" t="s">
        <v>612</v>
      </c>
      <c r="C322" s="182">
        <v>2</v>
      </c>
      <c r="D322" s="162" t="s">
        <v>75</v>
      </c>
      <c r="E322" s="182">
        <v>2500</v>
      </c>
      <c r="F322" s="182">
        <f t="shared" si="30"/>
        <v>5000</v>
      </c>
      <c r="G322" s="182">
        <v>70</v>
      </c>
      <c r="H322" s="182">
        <f t="shared" si="31"/>
        <v>140</v>
      </c>
      <c r="I322" s="182">
        <f t="shared" si="32"/>
        <v>5140</v>
      </c>
      <c r="J322" s="329"/>
    </row>
    <row r="323" spans="1:10" ht="42" customHeight="1">
      <c r="A323" s="167"/>
      <c r="B323" s="361" t="s">
        <v>322</v>
      </c>
      <c r="C323" s="156">
        <v>2</v>
      </c>
      <c r="D323" s="162" t="s">
        <v>75</v>
      </c>
      <c r="E323" s="156">
        <v>3000</v>
      </c>
      <c r="F323" s="156">
        <f t="shared" si="30"/>
        <v>6000</v>
      </c>
      <c r="G323" s="156">
        <v>130</v>
      </c>
      <c r="H323" s="156">
        <f t="shared" si="31"/>
        <v>260</v>
      </c>
      <c r="I323" s="156">
        <f t="shared" si="32"/>
        <v>6260</v>
      </c>
      <c r="J323" s="329"/>
    </row>
    <row r="324" spans="1:10" ht="21.75" customHeight="1">
      <c r="A324" s="332"/>
      <c r="B324" s="259" t="s">
        <v>450</v>
      </c>
      <c r="C324" s="163">
        <v>1.56</v>
      </c>
      <c r="D324" s="332" t="s">
        <v>93</v>
      </c>
      <c r="E324" s="163">
        <v>6500</v>
      </c>
      <c r="F324" s="163">
        <f t="shared" si="30"/>
        <v>10140</v>
      </c>
      <c r="G324" s="163">
        <v>75</v>
      </c>
      <c r="H324" s="163">
        <f t="shared" si="31"/>
        <v>117</v>
      </c>
      <c r="I324" s="163">
        <f t="shared" si="32"/>
        <v>10257</v>
      </c>
      <c r="J324" s="329"/>
    </row>
    <row r="325" spans="1:10" ht="21.75" customHeight="1">
      <c r="A325" s="363"/>
      <c r="B325" s="376" t="s">
        <v>451</v>
      </c>
      <c r="C325" s="239">
        <v>2</v>
      </c>
      <c r="D325" s="363" t="s">
        <v>181</v>
      </c>
      <c r="E325" s="234">
        <v>1450</v>
      </c>
      <c r="F325" s="239">
        <f>+C325*E325</f>
        <v>2900</v>
      </c>
      <c r="G325" s="239">
        <v>0</v>
      </c>
      <c r="H325" s="239">
        <f>+G325*C325</f>
        <v>0</v>
      </c>
      <c r="I325" s="239">
        <f>+F325+H325</f>
        <v>2900</v>
      </c>
      <c r="J325" s="329"/>
    </row>
    <row r="326" spans="1:10" ht="21.75" customHeight="1">
      <c r="A326" s="167"/>
      <c r="B326" s="251" t="s">
        <v>323</v>
      </c>
      <c r="C326" s="156">
        <v>2</v>
      </c>
      <c r="D326" s="162" t="s">
        <v>181</v>
      </c>
      <c r="E326" s="156">
        <v>150</v>
      </c>
      <c r="F326" s="156">
        <f>+C326*E326</f>
        <v>300</v>
      </c>
      <c r="G326" s="156">
        <v>70</v>
      </c>
      <c r="H326" s="156">
        <f>+G326*C326</f>
        <v>140</v>
      </c>
      <c r="I326" s="156">
        <f>+F326+H326</f>
        <v>440</v>
      </c>
      <c r="J326" s="329"/>
    </row>
    <row r="327" spans="1:10" ht="21.75" customHeight="1">
      <c r="A327" s="167"/>
      <c r="B327" s="251" t="s">
        <v>614</v>
      </c>
      <c r="C327" s="157">
        <v>2</v>
      </c>
      <c r="D327" s="167" t="s">
        <v>75</v>
      </c>
      <c r="E327" s="157">
        <v>450</v>
      </c>
      <c r="F327" s="157">
        <f>+C327*E327</f>
        <v>900</v>
      </c>
      <c r="G327" s="157">
        <v>75</v>
      </c>
      <c r="H327" s="157">
        <f>+G327*C327</f>
        <v>150</v>
      </c>
      <c r="I327" s="157">
        <f>+F327+H327</f>
        <v>1050</v>
      </c>
      <c r="J327" s="329"/>
    </row>
    <row r="328" spans="1:10" ht="21.75" customHeight="1">
      <c r="A328" s="167"/>
      <c r="B328" s="251" t="s">
        <v>354</v>
      </c>
      <c r="C328" s="157">
        <v>4</v>
      </c>
      <c r="D328" s="167" t="s">
        <v>75</v>
      </c>
      <c r="E328" s="157">
        <v>2200</v>
      </c>
      <c r="F328" s="157">
        <f t="shared" si="30"/>
        <v>8800</v>
      </c>
      <c r="G328" s="157">
        <v>0</v>
      </c>
      <c r="H328" s="157">
        <f t="shared" si="31"/>
        <v>0</v>
      </c>
      <c r="I328" s="157">
        <f t="shared" si="32"/>
        <v>8800</v>
      </c>
      <c r="J328" s="329"/>
    </row>
    <row r="329" spans="1:10" ht="21.75" customHeight="1">
      <c r="A329" s="167"/>
      <c r="B329" s="251" t="s">
        <v>389</v>
      </c>
      <c r="C329" s="157">
        <v>2</v>
      </c>
      <c r="D329" s="167" t="s">
        <v>75</v>
      </c>
      <c r="E329" s="157">
        <v>1600</v>
      </c>
      <c r="F329" s="157">
        <f>+C329*E329</f>
        <v>3200</v>
      </c>
      <c r="G329" s="157">
        <v>0</v>
      </c>
      <c r="H329" s="157">
        <f>+G329*C329</f>
        <v>0</v>
      </c>
      <c r="I329" s="157">
        <f>+F329+H329</f>
        <v>3200</v>
      </c>
      <c r="J329" s="329"/>
    </row>
    <row r="330" spans="1:10" s="297" customFormat="1" ht="67.5" customHeight="1">
      <c r="A330" s="167"/>
      <c r="B330" s="365" t="s">
        <v>620</v>
      </c>
      <c r="C330" s="156">
        <v>16.7</v>
      </c>
      <c r="D330" s="162" t="s">
        <v>93</v>
      </c>
      <c r="E330" s="156">
        <v>1850</v>
      </c>
      <c r="F330" s="156">
        <f>+C330*E330</f>
        <v>30895</v>
      </c>
      <c r="G330" s="156">
        <v>250</v>
      </c>
      <c r="H330" s="156">
        <f>+G330*C330</f>
        <v>4175</v>
      </c>
      <c r="I330" s="156">
        <f>+F330+H330</f>
        <v>35070</v>
      </c>
      <c r="J330" s="329"/>
    </row>
    <row r="331" spans="1:10" s="297" customFormat="1" ht="21.75" customHeight="1">
      <c r="A331" s="167"/>
      <c r="B331" s="251" t="s">
        <v>567</v>
      </c>
      <c r="C331" s="156">
        <v>30.4</v>
      </c>
      <c r="D331" s="162" t="s">
        <v>181</v>
      </c>
      <c r="E331" s="156">
        <v>35</v>
      </c>
      <c r="F331" s="156">
        <f>+C331*E331</f>
        <v>1064</v>
      </c>
      <c r="G331" s="156">
        <v>25</v>
      </c>
      <c r="H331" s="156">
        <f>+G331*C331</f>
        <v>760</v>
      </c>
      <c r="I331" s="156">
        <f>+F331+H331</f>
        <v>1824</v>
      </c>
      <c r="J331" s="329"/>
    </row>
    <row r="332" spans="1:10" ht="46.5" customHeight="1">
      <c r="A332" s="235"/>
      <c r="B332" s="371" t="s">
        <v>583</v>
      </c>
      <c r="C332" s="231"/>
      <c r="D332" s="231"/>
      <c r="E332" s="231"/>
      <c r="F332" s="228">
        <f>SUM(F295:F331)</f>
        <v>282019.25</v>
      </c>
      <c r="G332" s="372"/>
      <c r="H332" s="228">
        <f>SUM(H290:H331)</f>
        <v>72251.95</v>
      </c>
      <c r="I332" s="228">
        <f>SUM(I290:I331)</f>
        <v>354271.2</v>
      </c>
      <c r="J332" s="329"/>
    </row>
    <row r="333" spans="1:10" ht="44.25" customHeight="1">
      <c r="A333" s="324">
        <v>1.11</v>
      </c>
      <c r="B333" s="367" t="s">
        <v>329</v>
      </c>
      <c r="C333" s="231"/>
      <c r="D333" s="231"/>
      <c r="E333" s="231"/>
      <c r="F333" s="155"/>
      <c r="G333" s="231"/>
      <c r="H333" s="155"/>
      <c r="I333" s="155"/>
      <c r="J333" s="329"/>
    </row>
    <row r="334" spans="1:10" ht="21.75">
      <c r="A334" s="235"/>
      <c r="B334" s="358" t="s">
        <v>92</v>
      </c>
      <c r="C334" s="231"/>
      <c r="D334" s="231"/>
      <c r="E334" s="231"/>
      <c r="F334" s="155"/>
      <c r="G334" s="231"/>
      <c r="H334" s="155"/>
      <c r="I334" s="155"/>
      <c r="J334" s="329"/>
    </row>
    <row r="335" spans="1:10" ht="21.75">
      <c r="A335" s="167"/>
      <c r="B335" s="251" t="s">
        <v>455</v>
      </c>
      <c r="C335" s="157">
        <v>95.1</v>
      </c>
      <c r="D335" s="167" t="s">
        <v>93</v>
      </c>
      <c r="E335" s="157">
        <v>0</v>
      </c>
      <c r="F335" s="157">
        <f>+C335*E335</f>
        <v>0</v>
      </c>
      <c r="G335" s="157">
        <v>50</v>
      </c>
      <c r="H335" s="157">
        <f>+G335*C335</f>
        <v>4755</v>
      </c>
      <c r="I335" s="157">
        <f>+F335+H335</f>
        <v>4755</v>
      </c>
      <c r="J335" s="329"/>
    </row>
    <row r="336" spans="1:10" ht="21.75">
      <c r="A336" s="167"/>
      <c r="B336" s="251" t="s">
        <v>369</v>
      </c>
      <c r="C336" s="157">
        <v>1</v>
      </c>
      <c r="D336" s="167" t="s">
        <v>75</v>
      </c>
      <c r="E336" s="157">
        <v>0</v>
      </c>
      <c r="F336" s="157">
        <f>+C336*E336</f>
        <v>0</v>
      </c>
      <c r="G336" s="157">
        <v>300</v>
      </c>
      <c r="H336" s="157">
        <f>+G336*C336</f>
        <v>300</v>
      </c>
      <c r="I336" s="157">
        <f>+F336+H336</f>
        <v>300</v>
      </c>
      <c r="J336" s="329"/>
    </row>
    <row r="337" spans="1:10" ht="21.75">
      <c r="A337" s="332"/>
      <c r="B337" s="259" t="s">
        <v>534</v>
      </c>
      <c r="C337" s="163">
        <v>1</v>
      </c>
      <c r="D337" s="332" t="s">
        <v>75</v>
      </c>
      <c r="E337" s="163">
        <v>0</v>
      </c>
      <c r="F337" s="163">
        <f>+C337*E337</f>
        <v>0</v>
      </c>
      <c r="G337" s="163">
        <v>1500</v>
      </c>
      <c r="H337" s="163">
        <f>+G337*C337</f>
        <v>1500</v>
      </c>
      <c r="I337" s="163">
        <f>+F337+H337</f>
        <v>1500</v>
      </c>
      <c r="J337" s="329"/>
    </row>
    <row r="338" spans="1:10" ht="21.75">
      <c r="A338" s="363"/>
      <c r="B338" s="364" t="s">
        <v>296</v>
      </c>
      <c r="C338" s="239">
        <v>45.27</v>
      </c>
      <c r="D338" s="363" t="s">
        <v>93</v>
      </c>
      <c r="E338" s="239">
        <v>0</v>
      </c>
      <c r="F338" s="239">
        <f>+C338*E338</f>
        <v>0</v>
      </c>
      <c r="G338" s="239">
        <v>25</v>
      </c>
      <c r="H338" s="239">
        <f>+G338*C338</f>
        <v>1131.75</v>
      </c>
      <c r="I338" s="239">
        <f>+F338+H338</f>
        <v>1131.75</v>
      </c>
      <c r="J338" s="329"/>
    </row>
    <row r="339" spans="1:10" ht="21.75">
      <c r="A339" s="235"/>
      <c r="B339" s="358" t="s">
        <v>250</v>
      </c>
      <c r="C339" s="155"/>
      <c r="D339" s="235"/>
      <c r="E339" s="155"/>
      <c r="F339" s="155"/>
      <c r="G339" s="155"/>
      <c r="H339" s="155"/>
      <c r="I339" s="155"/>
      <c r="J339" s="329"/>
    </row>
    <row r="340" spans="1:10" ht="21.75">
      <c r="A340" s="167"/>
      <c r="B340" s="358" t="s">
        <v>272</v>
      </c>
      <c r="C340" s="157"/>
      <c r="D340" s="167"/>
      <c r="E340" s="157"/>
      <c r="F340" s="157"/>
      <c r="G340" s="157"/>
      <c r="H340" s="157"/>
      <c r="I340" s="157"/>
      <c r="J340" s="329"/>
    </row>
    <row r="341" spans="1:10" ht="21.75">
      <c r="A341" s="167"/>
      <c r="B341" s="252" t="s">
        <v>304</v>
      </c>
      <c r="C341" s="157">
        <v>3.35</v>
      </c>
      <c r="D341" s="167" t="s">
        <v>93</v>
      </c>
      <c r="E341" s="157">
        <v>0</v>
      </c>
      <c r="F341" s="157">
        <f>+C341*E341</f>
        <v>0</v>
      </c>
      <c r="G341" s="157">
        <v>120</v>
      </c>
      <c r="H341" s="157">
        <f>+G341*C341</f>
        <v>402</v>
      </c>
      <c r="I341" s="157">
        <f>+F341+H341</f>
        <v>402</v>
      </c>
      <c r="J341" s="329"/>
    </row>
    <row r="342" spans="1:10" ht="21.75">
      <c r="A342" s="167"/>
      <c r="B342" s="252" t="s">
        <v>625</v>
      </c>
      <c r="C342" s="156">
        <v>3.35</v>
      </c>
      <c r="D342" s="162" t="s">
        <v>93</v>
      </c>
      <c r="E342" s="156">
        <v>450</v>
      </c>
      <c r="F342" s="156">
        <f>+C342*E342</f>
        <v>1507.5</v>
      </c>
      <c r="G342" s="156">
        <v>222</v>
      </c>
      <c r="H342" s="156">
        <f>+G342*C342</f>
        <v>743.7</v>
      </c>
      <c r="I342" s="156">
        <f>+F342+H342</f>
        <v>2251.2</v>
      </c>
      <c r="J342" s="329"/>
    </row>
    <row r="343" spans="1:10" ht="21.75">
      <c r="A343" s="167"/>
      <c r="B343" s="358" t="s">
        <v>275</v>
      </c>
      <c r="C343" s="157"/>
      <c r="D343" s="167"/>
      <c r="E343" s="157"/>
      <c r="F343" s="157"/>
      <c r="G343" s="157"/>
      <c r="H343" s="157"/>
      <c r="I343" s="157"/>
      <c r="J343" s="329"/>
    </row>
    <row r="344" spans="1:10" ht="41.25" customHeight="1">
      <c r="A344" s="167"/>
      <c r="B344" s="361" t="s">
        <v>364</v>
      </c>
      <c r="C344" s="156">
        <v>98.75</v>
      </c>
      <c r="D344" s="162" t="s">
        <v>93</v>
      </c>
      <c r="E344" s="156">
        <v>273</v>
      </c>
      <c r="F344" s="156">
        <f>+C344*E344</f>
        <v>26958.75</v>
      </c>
      <c r="G344" s="156">
        <v>56</v>
      </c>
      <c r="H344" s="156">
        <f>+G344*C344</f>
        <v>5530</v>
      </c>
      <c r="I344" s="156">
        <f>+F344+H344</f>
        <v>32488.75</v>
      </c>
      <c r="J344" s="329"/>
    </row>
    <row r="345" spans="1:10" ht="21.75">
      <c r="A345" s="167"/>
      <c r="B345" s="361" t="s">
        <v>525</v>
      </c>
      <c r="C345" s="156">
        <v>17.4</v>
      </c>
      <c r="D345" s="162" t="s">
        <v>93</v>
      </c>
      <c r="E345" s="156">
        <v>470</v>
      </c>
      <c r="F345" s="156">
        <f>+C345*E345</f>
        <v>8177.999999999999</v>
      </c>
      <c r="G345" s="156">
        <v>190</v>
      </c>
      <c r="H345" s="156">
        <f>+G345*C345</f>
        <v>3305.9999999999995</v>
      </c>
      <c r="I345" s="156">
        <f>+F345+H345</f>
        <v>11483.999999999998</v>
      </c>
      <c r="J345" s="329"/>
    </row>
    <row r="346" spans="1:10" s="297" customFormat="1" ht="21.75">
      <c r="A346" s="167"/>
      <c r="B346" s="251" t="s">
        <v>566</v>
      </c>
      <c r="C346" s="156">
        <v>23.75</v>
      </c>
      <c r="D346" s="162" t="s">
        <v>93</v>
      </c>
      <c r="E346" s="156">
        <v>30</v>
      </c>
      <c r="F346" s="156">
        <f>+C346*E346</f>
        <v>712.5</v>
      </c>
      <c r="G346" s="156">
        <v>25</v>
      </c>
      <c r="H346" s="156">
        <f>+G346*C346</f>
        <v>593.75</v>
      </c>
      <c r="I346" s="156">
        <f>+F346+H346</f>
        <v>1306.25</v>
      </c>
      <c r="J346" s="329"/>
    </row>
    <row r="347" spans="1:10" ht="21.75">
      <c r="A347" s="167"/>
      <c r="B347" s="251" t="s">
        <v>310</v>
      </c>
      <c r="C347" s="157">
        <v>183.5</v>
      </c>
      <c r="D347" s="167" t="s">
        <v>93</v>
      </c>
      <c r="E347" s="157">
        <v>75</v>
      </c>
      <c r="F347" s="157">
        <f>+C347*E347</f>
        <v>13762.5</v>
      </c>
      <c r="G347" s="157">
        <v>87</v>
      </c>
      <c r="H347" s="157">
        <f>+G347*C347</f>
        <v>15964.5</v>
      </c>
      <c r="I347" s="157">
        <f>+F347+H347</f>
        <v>29727</v>
      </c>
      <c r="J347" s="329"/>
    </row>
    <row r="348" spans="1:10" ht="21.75">
      <c r="A348" s="167"/>
      <c r="B348" s="251" t="s">
        <v>456</v>
      </c>
      <c r="C348" s="157">
        <v>80.4</v>
      </c>
      <c r="D348" s="167" t="s">
        <v>181</v>
      </c>
      <c r="E348" s="157">
        <v>70</v>
      </c>
      <c r="F348" s="157">
        <f>+C348*E348</f>
        <v>5628</v>
      </c>
      <c r="G348" s="157">
        <v>40</v>
      </c>
      <c r="H348" s="157">
        <f>+G348*C348</f>
        <v>3216</v>
      </c>
      <c r="I348" s="157">
        <f>+F348+H348</f>
        <v>8844</v>
      </c>
      <c r="J348" s="329"/>
    </row>
    <row r="349" spans="1:10" ht="21.75">
      <c r="A349" s="167"/>
      <c r="B349" s="358" t="s">
        <v>269</v>
      </c>
      <c r="C349" s="157"/>
      <c r="D349" s="167"/>
      <c r="E349" s="157"/>
      <c r="F349" s="157"/>
      <c r="G349" s="157"/>
      <c r="H349" s="157"/>
      <c r="I349" s="157"/>
      <c r="J349" s="329"/>
    </row>
    <row r="350" spans="1:10" ht="43.5">
      <c r="A350" s="167"/>
      <c r="B350" s="361" t="s">
        <v>507</v>
      </c>
      <c r="C350" s="156">
        <v>36.45</v>
      </c>
      <c r="D350" s="162" t="s">
        <v>94</v>
      </c>
      <c r="E350" s="156">
        <v>280</v>
      </c>
      <c r="F350" s="156">
        <f>+C350*E350</f>
        <v>10206</v>
      </c>
      <c r="G350" s="156">
        <v>75</v>
      </c>
      <c r="H350" s="156">
        <f>+G350*C350</f>
        <v>2733.75</v>
      </c>
      <c r="I350" s="156">
        <f>+F350+H350</f>
        <v>12939.75</v>
      </c>
      <c r="J350" s="329"/>
    </row>
    <row r="351" spans="1:10" ht="40.5" customHeight="1">
      <c r="A351" s="332"/>
      <c r="B351" s="597" t="s">
        <v>506</v>
      </c>
      <c r="C351" s="232">
        <v>3.35</v>
      </c>
      <c r="D351" s="261" t="s">
        <v>93</v>
      </c>
      <c r="E351" s="232">
        <v>320</v>
      </c>
      <c r="F351" s="232">
        <f>+C351*E351</f>
        <v>1072</v>
      </c>
      <c r="G351" s="232">
        <v>75</v>
      </c>
      <c r="H351" s="232">
        <f>+G351*C351</f>
        <v>251.25</v>
      </c>
      <c r="I351" s="232">
        <f>+F351+H351</f>
        <v>1323.25</v>
      </c>
      <c r="J351" s="329"/>
    </row>
    <row r="352" spans="1:10" ht="21.75">
      <c r="A352" s="363"/>
      <c r="B352" s="354" t="s">
        <v>265</v>
      </c>
      <c r="C352" s="239"/>
      <c r="D352" s="363"/>
      <c r="E352" s="239"/>
      <c r="F352" s="239"/>
      <c r="G352" s="239"/>
      <c r="H352" s="239"/>
      <c r="I352" s="239"/>
      <c r="J352" s="329"/>
    </row>
    <row r="353" spans="1:10" ht="21.75">
      <c r="A353" s="167"/>
      <c r="B353" s="251" t="s">
        <v>305</v>
      </c>
      <c r="C353" s="157">
        <v>1</v>
      </c>
      <c r="D353" s="167" t="s">
        <v>75</v>
      </c>
      <c r="E353" s="157">
        <v>7500</v>
      </c>
      <c r="F353" s="157">
        <f>+C353*E353</f>
        <v>7500</v>
      </c>
      <c r="G353" s="157">
        <v>1100</v>
      </c>
      <c r="H353" s="157">
        <f>+G353*C353</f>
        <v>1100</v>
      </c>
      <c r="I353" s="157">
        <f>+F353+H353</f>
        <v>8600</v>
      </c>
      <c r="J353" s="329"/>
    </row>
    <row r="354" spans="1:10" ht="21.75">
      <c r="A354" s="167"/>
      <c r="B354" s="251" t="s">
        <v>320</v>
      </c>
      <c r="C354" s="157">
        <v>1</v>
      </c>
      <c r="D354" s="167" t="s">
        <v>75</v>
      </c>
      <c r="E354" s="157">
        <v>5500</v>
      </c>
      <c r="F354" s="157">
        <f>+C354*E354</f>
        <v>5500</v>
      </c>
      <c r="G354" s="157">
        <v>2500</v>
      </c>
      <c r="H354" s="157">
        <f>+G354*C354</f>
        <v>2500</v>
      </c>
      <c r="I354" s="157">
        <f>+F354+H354</f>
        <v>8000</v>
      </c>
      <c r="J354" s="329"/>
    </row>
    <row r="355" spans="1:10" ht="21.75">
      <c r="A355" s="167"/>
      <c r="B355" s="251" t="s">
        <v>370</v>
      </c>
      <c r="C355" s="157">
        <v>1</v>
      </c>
      <c r="D355" s="167" t="s">
        <v>75</v>
      </c>
      <c r="E355" s="157">
        <v>1500</v>
      </c>
      <c r="F355" s="157">
        <f>+C355*E355</f>
        <v>1500</v>
      </c>
      <c r="G355" s="157">
        <v>130</v>
      </c>
      <c r="H355" s="157">
        <v>2000</v>
      </c>
      <c r="I355" s="157">
        <f>+F355+H355</f>
        <v>3500</v>
      </c>
      <c r="J355" s="329"/>
    </row>
    <row r="356" spans="1:10" ht="21.75">
      <c r="A356" s="167"/>
      <c r="B356" s="251" t="s">
        <v>517</v>
      </c>
      <c r="C356" s="157">
        <v>1</v>
      </c>
      <c r="D356" s="167" t="s">
        <v>75</v>
      </c>
      <c r="E356" s="157">
        <v>250</v>
      </c>
      <c r="F356" s="157">
        <f>+C356*E356</f>
        <v>250</v>
      </c>
      <c r="G356" s="157">
        <v>150</v>
      </c>
      <c r="H356" s="157">
        <f>+G356*C356</f>
        <v>150</v>
      </c>
      <c r="I356" s="157">
        <f>+F356+H356</f>
        <v>400</v>
      </c>
      <c r="J356" s="329"/>
    </row>
    <row r="357" spans="1:10" ht="21.75">
      <c r="A357" s="167"/>
      <c r="B357" s="358" t="s">
        <v>270</v>
      </c>
      <c r="C357" s="157"/>
      <c r="D357" s="167"/>
      <c r="E357" s="157"/>
      <c r="F357" s="157"/>
      <c r="G357" s="157"/>
      <c r="H357" s="157"/>
      <c r="I357" s="157"/>
      <c r="J357" s="329"/>
    </row>
    <row r="358" spans="1:10" s="292" customFormat="1" ht="21.75">
      <c r="A358" s="167"/>
      <c r="B358" s="365" t="s">
        <v>587</v>
      </c>
      <c r="C358" s="156">
        <v>123.8</v>
      </c>
      <c r="D358" s="162" t="s">
        <v>93</v>
      </c>
      <c r="E358" s="156">
        <v>80</v>
      </c>
      <c r="F358" s="156">
        <f>+C358*E358</f>
        <v>9904</v>
      </c>
      <c r="G358" s="156">
        <v>30</v>
      </c>
      <c r="H358" s="156">
        <f>+G358*C358</f>
        <v>3714</v>
      </c>
      <c r="I358" s="156">
        <f>+F358+H358</f>
        <v>13618</v>
      </c>
      <c r="J358" s="329"/>
    </row>
    <row r="359" spans="1:10" s="292" customFormat="1" ht="21.75">
      <c r="A359" s="167"/>
      <c r="B359" s="365" t="s">
        <v>511</v>
      </c>
      <c r="C359" s="157">
        <v>41.05</v>
      </c>
      <c r="D359" s="167" t="s">
        <v>93</v>
      </c>
      <c r="E359" s="157">
        <v>45</v>
      </c>
      <c r="F359" s="157">
        <f>+C359*E359</f>
        <v>1847.2499999999998</v>
      </c>
      <c r="G359" s="157">
        <v>30</v>
      </c>
      <c r="H359" s="157">
        <f>+G359*C359</f>
        <v>1231.5</v>
      </c>
      <c r="I359" s="157">
        <f>+F359+H359</f>
        <v>3078.75</v>
      </c>
      <c r="J359" s="329"/>
    </row>
    <row r="360" spans="1:10" ht="21.75">
      <c r="A360" s="167"/>
      <c r="B360" s="358" t="s">
        <v>273</v>
      </c>
      <c r="C360" s="157"/>
      <c r="D360" s="167"/>
      <c r="E360" s="157"/>
      <c r="F360" s="157"/>
      <c r="G360" s="157"/>
      <c r="H360" s="157"/>
      <c r="I360" s="157"/>
      <c r="J360" s="329"/>
    </row>
    <row r="361" spans="1:10" ht="21.75">
      <c r="A361" s="167"/>
      <c r="B361" s="251" t="s">
        <v>308</v>
      </c>
      <c r="C361" s="157">
        <v>1</v>
      </c>
      <c r="D361" s="167" t="s">
        <v>75</v>
      </c>
      <c r="E361" s="157">
        <v>4900</v>
      </c>
      <c r="F361" s="157">
        <f aca="true" t="shared" si="33" ref="F361:F367">+C361*E361</f>
        <v>4900</v>
      </c>
      <c r="G361" s="157">
        <v>450</v>
      </c>
      <c r="H361" s="157">
        <f aca="true" t="shared" si="34" ref="H361:H367">+G361*C361</f>
        <v>450</v>
      </c>
      <c r="I361" s="157">
        <f aca="true" t="shared" si="35" ref="I361:I367">+F361+H361</f>
        <v>5350</v>
      </c>
      <c r="J361" s="329"/>
    </row>
    <row r="362" spans="1:10" ht="21.75">
      <c r="A362" s="167"/>
      <c r="B362" s="365" t="s">
        <v>371</v>
      </c>
      <c r="C362" s="156">
        <v>1</v>
      </c>
      <c r="D362" s="162" t="s">
        <v>75</v>
      </c>
      <c r="E362" s="156">
        <v>4500</v>
      </c>
      <c r="F362" s="156">
        <f t="shared" si="33"/>
        <v>4500</v>
      </c>
      <c r="G362" s="156">
        <v>450</v>
      </c>
      <c r="H362" s="156">
        <f t="shared" si="34"/>
        <v>450</v>
      </c>
      <c r="I362" s="156">
        <f t="shared" si="35"/>
        <v>4950</v>
      </c>
      <c r="J362" s="329"/>
    </row>
    <row r="363" spans="1:10" ht="21.75">
      <c r="A363" s="167"/>
      <c r="B363" s="251" t="s">
        <v>436</v>
      </c>
      <c r="C363" s="157">
        <v>1</v>
      </c>
      <c r="D363" s="167" t="s">
        <v>75</v>
      </c>
      <c r="E363" s="157">
        <v>1200</v>
      </c>
      <c r="F363" s="157">
        <f t="shared" si="33"/>
        <v>1200</v>
      </c>
      <c r="G363" s="157">
        <v>0</v>
      </c>
      <c r="H363" s="157">
        <f t="shared" si="34"/>
        <v>0</v>
      </c>
      <c r="I363" s="157">
        <f t="shared" si="35"/>
        <v>1200</v>
      </c>
      <c r="J363" s="329"/>
    </row>
    <row r="364" spans="1:10" ht="21.75">
      <c r="A364" s="167"/>
      <c r="B364" s="271" t="s">
        <v>368</v>
      </c>
      <c r="C364" s="157">
        <v>1</v>
      </c>
      <c r="D364" s="167" t="s">
        <v>75</v>
      </c>
      <c r="E364" s="157">
        <v>650</v>
      </c>
      <c r="F364" s="157">
        <f t="shared" si="33"/>
        <v>650</v>
      </c>
      <c r="G364" s="157">
        <v>80</v>
      </c>
      <c r="H364" s="157">
        <f t="shared" si="34"/>
        <v>80</v>
      </c>
      <c r="I364" s="157">
        <f t="shared" si="35"/>
        <v>730</v>
      </c>
      <c r="J364" s="329"/>
    </row>
    <row r="365" spans="1:10" ht="21.75">
      <c r="A365" s="167"/>
      <c r="B365" s="251" t="s">
        <v>615</v>
      </c>
      <c r="C365" s="157">
        <v>1</v>
      </c>
      <c r="D365" s="167" t="s">
        <v>75</v>
      </c>
      <c r="E365" s="157">
        <v>650</v>
      </c>
      <c r="F365" s="157">
        <f t="shared" si="33"/>
        <v>650</v>
      </c>
      <c r="G365" s="157">
        <v>70</v>
      </c>
      <c r="H365" s="157">
        <f t="shared" si="34"/>
        <v>70</v>
      </c>
      <c r="I365" s="157">
        <f t="shared" si="35"/>
        <v>720</v>
      </c>
      <c r="J365" s="329"/>
    </row>
    <row r="366" spans="1:10" ht="21.75">
      <c r="A366" s="167"/>
      <c r="B366" s="251" t="s">
        <v>306</v>
      </c>
      <c r="C366" s="157">
        <v>1</v>
      </c>
      <c r="D366" s="167" t="s">
        <v>75</v>
      </c>
      <c r="E366" s="157">
        <v>150</v>
      </c>
      <c r="F366" s="157">
        <f t="shared" si="33"/>
        <v>150</v>
      </c>
      <c r="G366" s="157">
        <v>70</v>
      </c>
      <c r="H366" s="157">
        <f t="shared" si="34"/>
        <v>70</v>
      </c>
      <c r="I366" s="157">
        <f t="shared" si="35"/>
        <v>220</v>
      </c>
      <c r="J366" s="329"/>
    </row>
    <row r="367" spans="1:10" ht="21.75">
      <c r="A367" s="332"/>
      <c r="B367" s="259" t="s">
        <v>614</v>
      </c>
      <c r="C367" s="163">
        <v>1</v>
      </c>
      <c r="D367" s="332" t="s">
        <v>75</v>
      </c>
      <c r="E367" s="163">
        <v>450</v>
      </c>
      <c r="F367" s="163">
        <f t="shared" si="33"/>
        <v>450</v>
      </c>
      <c r="G367" s="163">
        <v>80</v>
      </c>
      <c r="H367" s="163">
        <f t="shared" si="34"/>
        <v>80</v>
      </c>
      <c r="I367" s="163">
        <f t="shared" si="35"/>
        <v>530</v>
      </c>
      <c r="J367" s="329"/>
    </row>
    <row r="368" spans="1:10" ht="43.5">
      <c r="A368" s="363"/>
      <c r="B368" s="376" t="s">
        <v>571</v>
      </c>
      <c r="C368" s="234">
        <v>1.4</v>
      </c>
      <c r="D368" s="256" t="s">
        <v>181</v>
      </c>
      <c r="E368" s="234">
        <v>1450</v>
      </c>
      <c r="F368" s="234">
        <f>+C368*E368</f>
        <v>2029.9999999999998</v>
      </c>
      <c r="G368" s="234">
        <v>0</v>
      </c>
      <c r="H368" s="234">
        <f>+G368*C368</f>
        <v>0</v>
      </c>
      <c r="I368" s="234">
        <f>+F368+H368</f>
        <v>2029.9999999999998</v>
      </c>
      <c r="J368" s="329"/>
    </row>
    <row r="369" spans="1:10" ht="21.75" customHeight="1">
      <c r="A369" s="235"/>
      <c r="B369" s="371" t="s">
        <v>278</v>
      </c>
      <c r="C369" s="231"/>
      <c r="D369" s="231"/>
      <c r="E369" s="231"/>
      <c r="F369" s="228">
        <f>SUM(F335:F368)</f>
        <v>109056.5</v>
      </c>
      <c r="G369" s="372"/>
      <c r="H369" s="228">
        <f>SUM(H335:H368)</f>
        <v>52323.2</v>
      </c>
      <c r="I369" s="228">
        <f>SUM(I335:I368)</f>
        <v>161379.7</v>
      </c>
      <c r="J369" s="329"/>
    </row>
    <row r="370" spans="1:10" ht="41.25" customHeight="1">
      <c r="A370" s="324">
        <v>1.12</v>
      </c>
      <c r="B370" s="367" t="s">
        <v>327</v>
      </c>
      <c r="C370" s="231"/>
      <c r="D370" s="231"/>
      <c r="E370" s="231"/>
      <c r="F370" s="155"/>
      <c r="G370" s="231"/>
      <c r="H370" s="155"/>
      <c r="I370" s="155"/>
      <c r="J370" s="329"/>
    </row>
    <row r="371" spans="1:10" ht="21.75">
      <c r="A371" s="235"/>
      <c r="B371" s="358" t="s">
        <v>92</v>
      </c>
      <c r="C371" s="231"/>
      <c r="D371" s="231"/>
      <c r="E371" s="231"/>
      <c r="F371" s="155"/>
      <c r="G371" s="231"/>
      <c r="H371" s="155"/>
      <c r="I371" s="155"/>
      <c r="J371" s="329"/>
    </row>
    <row r="372" spans="1:10" ht="21.75">
      <c r="A372" s="235"/>
      <c r="B372" s="251" t="s">
        <v>458</v>
      </c>
      <c r="C372" s="157">
        <v>2</v>
      </c>
      <c r="D372" s="167" t="s">
        <v>75</v>
      </c>
      <c r="E372" s="157">
        <v>0</v>
      </c>
      <c r="F372" s="157">
        <f>+C372*E372</f>
        <v>0</v>
      </c>
      <c r="G372" s="157">
        <v>300</v>
      </c>
      <c r="H372" s="157">
        <f>+G372*C372</f>
        <v>600</v>
      </c>
      <c r="I372" s="157">
        <f>+F372+H372</f>
        <v>600</v>
      </c>
      <c r="J372" s="329"/>
    </row>
    <row r="373" spans="1:10" ht="21.75">
      <c r="A373" s="167"/>
      <c r="B373" s="251" t="s">
        <v>384</v>
      </c>
      <c r="C373" s="157">
        <v>1</v>
      </c>
      <c r="D373" s="167" t="s">
        <v>75</v>
      </c>
      <c r="E373" s="157">
        <v>0</v>
      </c>
      <c r="F373" s="157">
        <f>+C373*E373</f>
        <v>0</v>
      </c>
      <c r="G373" s="157">
        <v>100</v>
      </c>
      <c r="H373" s="157">
        <f>+G373*C373</f>
        <v>100</v>
      </c>
      <c r="I373" s="157">
        <f>+F373+H373</f>
        <v>100</v>
      </c>
      <c r="J373" s="329"/>
    </row>
    <row r="374" spans="1:10" ht="21.75">
      <c r="A374" s="235"/>
      <c r="B374" s="358" t="s">
        <v>250</v>
      </c>
      <c r="C374" s="155"/>
      <c r="D374" s="235"/>
      <c r="E374" s="155"/>
      <c r="F374" s="155"/>
      <c r="G374" s="155"/>
      <c r="H374" s="155"/>
      <c r="I374" s="155"/>
      <c r="J374" s="329"/>
    </row>
    <row r="375" spans="1:10" ht="21.75" customHeight="1">
      <c r="A375" s="167"/>
      <c r="B375" s="365" t="s">
        <v>372</v>
      </c>
      <c r="C375" s="156">
        <v>1</v>
      </c>
      <c r="D375" s="162" t="s">
        <v>75</v>
      </c>
      <c r="E375" s="156">
        <v>72000</v>
      </c>
      <c r="F375" s="156">
        <f>+C375*E375</f>
        <v>72000</v>
      </c>
      <c r="G375" s="156">
        <v>2500</v>
      </c>
      <c r="H375" s="156">
        <f>+G375*C375</f>
        <v>2500</v>
      </c>
      <c r="I375" s="156">
        <f>+F375+H375</f>
        <v>74500</v>
      </c>
      <c r="J375" s="329"/>
    </row>
    <row r="376" spans="1:10" s="297" customFormat="1" ht="49.5" customHeight="1">
      <c r="A376" s="167"/>
      <c r="B376" s="252" t="s">
        <v>621</v>
      </c>
      <c r="C376" s="156">
        <v>17.5</v>
      </c>
      <c r="D376" s="162" t="s">
        <v>93</v>
      </c>
      <c r="E376" s="156">
        <v>1250</v>
      </c>
      <c r="F376" s="156">
        <f>+C376*E376</f>
        <v>21875</v>
      </c>
      <c r="G376" s="156">
        <v>250</v>
      </c>
      <c r="H376" s="156">
        <f>+G376*C376</f>
        <v>4375</v>
      </c>
      <c r="I376" s="156">
        <f>+F376+H376</f>
        <v>26250</v>
      </c>
      <c r="J376" s="329"/>
    </row>
    <row r="377" spans="1:10" ht="44.25" customHeight="1">
      <c r="A377" s="349"/>
      <c r="B377" s="377" t="s">
        <v>332</v>
      </c>
      <c r="C377" s="369"/>
      <c r="D377" s="369"/>
      <c r="E377" s="369"/>
      <c r="F377" s="233">
        <f>SUM(F372:F376)</f>
        <v>93875</v>
      </c>
      <c r="G377" s="378"/>
      <c r="H377" s="233">
        <f>SUM(H372:H376)</f>
        <v>7575</v>
      </c>
      <c r="I377" s="233">
        <f>SUM(I372:I376)</f>
        <v>101450</v>
      </c>
      <c r="J377" s="329"/>
    </row>
    <row r="378" spans="1:10" ht="42" customHeight="1">
      <c r="A378" s="379">
        <v>1.13</v>
      </c>
      <c r="B378" s="598" t="s">
        <v>328</v>
      </c>
      <c r="C378" s="335"/>
      <c r="D378" s="335"/>
      <c r="E378" s="335"/>
      <c r="F378" s="255"/>
      <c r="G378" s="335"/>
      <c r="H378" s="255"/>
      <c r="I378" s="255"/>
      <c r="J378" s="329"/>
    </row>
    <row r="379" spans="1:10" ht="21.75">
      <c r="A379" s="235"/>
      <c r="B379" s="358" t="s">
        <v>92</v>
      </c>
      <c r="C379" s="231"/>
      <c r="D379" s="231"/>
      <c r="E379" s="231"/>
      <c r="F379" s="155"/>
      <c r="G379" s="231"/>
      <c r="H379" s="155"/>
      <c r="I379" s="155"/>
      <c r="J379" s="329"/>
    </row>
    <row r="380" spans="1:10" ht="21.75">
      <c r="A380" s="167"/>
      <c r="B380" s="251" t="s">
        <v>581</v>
      </c>
      <c r="C380" s="157">
        <v>65.9</v>
      </c>
      <c r="D380" s="167" t="s">
        <v>93</v>
      </c>
      <c r="E380" s="157">
        <v>0</v>
      </c>
      <c r="F380" s="157">
        <f>+C380*E380</f>
        <v>0</v>
      </c>
      <c r="G380" s="157">
        <v>50</v>
      </c>
      <c r="H380" s="157">
        <f>+G380*C380</f>
        <v>3295.0000000000005</v>
      </c>
      <c r="I380" s="157">
        <f>+F380+H380</f>
        <v>3295.0000000000005</v>
      </c>
      <c r="J380" s="329"/>
    </row>
    <row r="381" spans="1:10" ht="21.75">
      <c r="A381" s="167"/>
      <c r="B381" s="251" t="s">
        <v>373</v>
      </c>
      <c r="C381" s="157">
        <v>2</v>
      </c>
      <c r="D381" s="167" t="s">
        <v>75</v>
      </c>
      <c r="E381" s="157">
        <v>0</v>
      </c>
      <c r="F381" s="157">
        <f>+C381*E381</f>
        <v>0</v>
      </c>
      <c r="G381" s="157">
        <v>500</v>
      </c>
      <c r="H381" s="157">
        <f>+G381*C381</f>
        <v>1000</v>
      </c>
      <c r="I381" s="157">
        <f>+F381+H381</f>
        <v>1000</v>
      </c>
      <c r="J381" s="329"/>
    </row>
    <row r="382" spans="1:10" ht="21.75">
      <c r="A382" s="167"/>
      <c r="B382" s="251" t="s">
        <v>303</v>
      </c>
      <c r="C382" s="157">
        <v>4</v>
      </c>
      <c r="D382" s="167" t="s">
        <v>93</v>
      </c>
      <c r="E382" s="157">
        <v>0</v>
      </c>
      <c r="F382" s="157">
        <f>+C382*E382</f>
        <v>0</v>
      </c>
      <c r="G382" s="157">
        <v>40</v>
      </c>
      <c r="H382" s="157">
        <f>+G382*C382</f>
        <v>160</v>
      </c>
      <c r="I382" s="157">
        <f>+F382+H382</f>
        <v>160</v>
      </c>
      <c r="J382" s="329"/>
    </row>
    <row r="383" spans="1:10" ht="21.75">
      <c r="A383" s="167"/>
      <c r="B383" s="251" t="s">
        <v>298</v>
      </c>
      <c r="C383" s="157">
        <v>120.05</v>
      </c>
      <c r="D383" s="167" t="s">
        <v>93</v>
      </c>
      <c r="E383" s="157">
        <v>0</v>
      </c>
      <c r="F383" s="157">
        <f>+C383*E383</f>
        <v>0</v>
      </c>
      <c r="G383" s="157">
        <v>25</v>
      </c>
      <c r="H383" s="157">
        <f>+G383*C383</f>
        <v>3001.25</v>
      </c>
      <c r="I383" s="157">
        <f>+F383+H383</f>
        <v>3001.25</v>
      </c>
      <c r="J383" s="329"/>
    </row>
    <row r="384" spans="1:10" ht="21.75">
      <c r="A384" s="235"/>
      <c r="B384" s="358" t="s">
        <v>250</v>
      </c>
      <c r="C384" s="155"/>
      <c r="D384" s="235"/>
      <c r="E384" s="155"/>
      <c r="F384" s="155"/>
      <c r="G384" s="155"/>
      <c r="H384" s="155"/>
      <c r="I384" s="155"/>
      <c r="J384" s="329"/>
    </row>
    <row r="385" spans="1:10" ht="21.75">
      <c r="A385" s="167"/>
      <c r="B385" s="358" t="s">
        <v>275</v>
      </c>
      <c r="C385" s="157"/>
      <c r="D385" s="167"/>
      <c r="E385" s="157"/>
      <c r="F385" s="157"/>
      <c r="G385" s="157"/>
      <c r="H385" s="157"/>
      <c r="I385" s="157"/>
      <c r="J385" s="329"/>
    </row>
    <row r="386" spans="1:10" ht="42" customHeight="1">
      <c r="A386" s="167"/>
      <c r="B386" s="361" t="s">
        <v>309</v>
      </c>
      <c r="C386" s="156">
        <v>159.75</v>
      </c>
      <c r="D386" s="162" t="s">
        <v>93</v>
      </c>
      <c r="E386" s="156">
        <v>273</v>
      </c>
      <c r="F386" s="156">
        <f>+C386*E386</f>
        <v>43611.75</v>
      </c>
      <c r="G386" s="156">
        <v>56</v>
      </c>
      <c r="H386" s="156">
        <f>+G386*C386</f>
        <v>8946</v>
      </c>
      <c r="I386" s="156">
        <f>+F386+H386</f>
        <v>52557.75</v>
      </c>
      <c r="J386" s="329"/>
    </row>
    <row r="387" spans="1:11" ht="21.75">
      <c r="A387" s="167"/>
      <c r="B387" s="251" t="s">
        <v>318</v>
      </c>
      <c r="C387" s="157">
        <v>319.5</v>
      </c>
      <c r="D387" s="167" t="s">
        <v>93</v>
      </c>
      <c r="E387" s="157">
        <v>75</v>
      </c>
      <c r="F387" s="157">
        <f>+C387*E387</f>
        <v>23962.5</v>
      </c>
      <c r="G387" s="157">
        <v>87</v>
      </c>
      <c r="H387" s="157">
        <f>+G387*C387</f>
        <v>27796.5</v>
      </c>
      <c r="I387" s="157">
        <f>+F387+H387</f>
        <v>51759</v>
      </c>
      <c r="J387" s="329"/>
      <c r="K387" s="174"/>
    </row>
    <row r="388" spans="1:11" ht="21.75">
      <c r="A388" s="167"/>
      <c r="B388" s="251" t="s">
        <v>459</v>
      </c>
      <c r="C388" s="157">
        <v>78.3</v>
      </c>
      <c r="D388" s="167" t="s">
        <v>93</v>
      </c>
      <c r="E388" s="157">
        <v>70</v>
      </c>
      <c r="F388" s="157">
        <f>+C388*E388</f>
        <v>5481</v>
      </c>
      <c r="G388" s="157">
        <v>40</v>
      </c>
      <c r="H388" s="157">
        <f>+G388*C388</f>
        <v>3132</v>
      </c>
      <c r="I388" s="157">
        <f>+F388+H388</f>
        <v>8613</v>
      </c>
      <c r="J388" s="329"/>
      <c r="K388" s="174"/>
    </row>
    <row r="389" spans="1:10" ht="21.75">
      <c r="A389" s="167"/>
      <c r="B389" s="358" t="s">
        <v>269</v>
      </c>
      <c r="C389" s="157"/>
      <c r="D389" s="167"/>
      <c r="E389" s="157"/>
      <c r="F389" s="157"/>
      <c r="G389" s="157"/>
      <c r="H389" s="157"/>
      <c r="I389" s="157"/>
      <c r="J389" s="329"/>
    </row>
    <row r="390" spans="1:10" ht="40.5" customHeight="1">
      <c r="A390" s="167"/>
      <c r="B390" s="386" t="s">
        <v>460</v>
      </c>
      <c r="C390" s="156">
        <v>120.05</v>
      </c>
      <c r="D390" s="162" t="s">
        <v>93</v>
      </c>
      <c r="E390" s="156">
        <v>280</v>
      </c>
      <c r="F390" s="156">
        <f>+C390*E390</f>
        <v>33614</v>
      </c>
      <c r="G390" s="156">
        <v>75</v>
      </c>
      <c r="H390" s="156">
        <f>+G390*C390</f>
        <v>9003.75</v>
      </c>
      <c r="I390" s="156">
        <f>+F390+H390</f>
        <v>42617.75</v>
      </c>
      <c r="J390" s="329"/>
    </row>
    <row r="391" spans="1:10" ht="21.75" customHeight="1">
      <c r="A391" s="167"/>
      <c r="B391" s="358" t="s">
        <v>265</v>
      </c>
      <c r="C391" s="157"/>
      <c r="D391" s="167"/>
      <c r="E391" s="157"/>
      <c r="F391" s="157"/>
      <c r="G391" s="157"/>
      <c r="H391" s="157"/>
      <c r="I391" s="157"/>
      <c r="J391" s="329"/>
    </row>
    <row r="392" spans="1:10" ht="21.75" customHeight="1">
      <c r="A392" s="332"/>
      <c r="B392" s="259" t="s">
        <v>374</v>
      </c>
      <c r="C392" s="163">
        <v>5</v>
      </c>
      <c r="D392" s="332" t="s">
        <v>75</v>
      </c>
      <c r="E392" s="163">
        <v>7900</v>
      </c>
      <c r="F392" s="163">
        <f>+C392*E392</f>
        <v>39500</v>
      </c>
      <c r="G392" s="163">
        <v>1200</v>
      </c>
      <c r="H392" s="163">
        <f>+G392*C392</f>
        <v>6000</v>
      </c>
      <c r="I392" s="163">
        <f>+F392+H392</f>
        <v>45500</v>
      </c>
      <c r="J392" s="329"/>
    </row>
    <row r="393" spans="1:10" ht="21.75" customHeight="1">
      <c r="A393" s="363"/>
      <c r="B393" s="376" t="s">
        <v>375</v>
      </c>
      <c r="C393" s="234">
        <v>1</v>
      </c>
      <c r="D393" s="256" t="s">
        <v>75</v>
      </c>
      <c r="E393" s="234">
        <v>56000</v>
      </c>
      <c r="F393" s="234">
        <f>+C393*E393</f>
        <v>56000</v>
      </c>
      <c r="G393" s="234">
        <v>2500</v>
      </c>
      <c r="H393" s="234">
        <f>+G393*C393</f>
        <v>2500</v>
      </c>
      <c r="I393" s="234">
        <f>+F393+H393</f>
        <v>58500</v>
      </c>
      <c r="J393" s="329"/>
    </row>
    <row r="394" spans="1:10" ht="21.75">
      <c r="A394" s="167"/>
      <c r="B394" s="358" t="s">
        <v>270</v>
      </c>
      <c r="C394" s="157"/>
      <c r="D394" s="167"/>
      <c r="E394" s="157"/>
      <c r="F394" s="157"/>
      <c r="G394" s="157"/>
      <c r="H394" s="157"/>
      <c r="I394" s="157"/>
      <c r="J394" s="329"/>
    </row>
    <row r="395" spans="1:12" s="292" customFormat="1" ht="21.75">
      <c r="A395" s="167"/>
      <c r="B395" s="365" t="s">
        <v>561</v>
      </c>
      <c r="C395" s="156">
        <v>253.35</v>
      </c>
      <c r="D395" s="162" t="s">
        <v>93</v>
      </c>
      <c r="E395" s="156">
        <v>80</v>
      </c>
      <c r="F395" s="156">
        <f>+C395*E395</f>
        <v>20268</v>
      </c>
      <c r="G395" s="156">
        <v>30</v>
      </c>
      <c r="H395" s="156">
        <f>+G395*C395</f>
        <v>7600.5</v>
      </c>
      <c r="I395" s="156">
        <f>+F395+H395</f>
        <v>27868.5</v>
      </c>
      <c r="J395" s="329"/>
      <c r="K395" s="291"/>
      <c r="L395" s="291"/>
    </row>
    <row r="396" spans="1:12" s="292" customFormat="1" ht="21.75">
      <c r="A396" s="167"/>
      <c r="B396" s="365" t="s">
        <v>511</v>
      </c>
      <c r="C396" s="157">
        <v>120.5</v>
      </c>
      <c r="D396" s="167" t="s">
        <v>93</v>
      </c>
      <c r="E396" s="157">
        <v>45</v>
      </c>
      <c r="F396" s="157">
        <f>+C396*E396</f>
        <v>5422.5</v>
      </c>
      <c r="G396" s="157">
        <v>30</v>
      </c>
      <c r="H396" s="157">
        <f>+G396*C396</f>
        <v>3615</v>
      </c>
      <c r="I396" s="157">
        <f>+F396+H396</f>
        <v>9037.5</v>
      </c>
      <c r="J396" s="329"/>
      <c r="K396" s="293"/>
      <c r="L396" s="291"/>
    </row>
    <row r="397" spans="1:12" s="297" customFormat="1" ht="21.75">
      <c r="A397" s="167"/>
      <c r="B397" s="251" t="s">
        <v>567</v>
      </c>
      <c r="C397" s="157">
        <v>90.75</v>
      </c>
      <c r="D397" s="167" t="s">
        <v>181</v>
      </c>
      <c r="E397" s="157">
        <v>30</v>
      </c>
      <c r="F397" s="157">
        <f>+C397*E397</f>
        <v>2722.5</v>
      </c>
      <c r="G397" s="157">
        <v>25</v>
      </c>
      <c r="H397" s="157">
        <f>+G397*C397</f>
        <v>2268.75</v>
      </c>
      <c r="I397" s="157">
        <f>+F397+H397</f>
        <v>4991.25</v>
      </c>
      <c r="J397" s="329"/>
      <c r="K397" s="298"/>
      <c r="L397" s="296"/>
    </row>
    <row r="398" spans="1:10" ht="43.5">
      <c r="A398" s="235"/>
      <c r="B398" s="371" t="s">
        <v>331</v>
      </c>
      <c r="C398" s="231"/>
      <c r="D398" s="231"/>
      <c r="E398" s="231"/>
      <c r="F398" s="228">
        <f>SUM(F380:F397)</f>
        <v>230582.25</v>
      </c>
      <c r="G398" s="372"/>
      <c r="H398" s="228">
        <f>SUM(H380:H397)</f>
        <v>78318.75</v>
      </c>
      <c r="I398" s="228">
        <f>SUM(I380:I397)</f>
        <v>308901</v>
      </c>
      <c r="J398" s="329"/>
    </row>
    <row r="399" spans="1:10" ht="42.75" customHeight="1">
      <c r="A399" s="324">
        <v>1.14</v>
      </c>
      <c r="B399" s="374" t="s">
        <v>330</v>
      </c>
      <c r="C399" s="387"/>
      <c r="D399" s="387"/>
      <c r="E399" s="387"/>
      <c r="F399" s="387"/>
      <c r="G399" s="387"/>
      <c r="H399" s="387"/>
      <c r="I399" s="387"/>
      <c r="J399" s="329"/>
    </row>
    <row r="400" spans="1:10" ht="21.75">
      <c r="A400" s="235"/>
      <c r="B400" s="358" t="s">
        <v>92</v>
      </c>
      <c r="C400" s="231"/>
      <c r="D400" s="231"/>
      <c r="E400" s="231"/>
      <c r="F400" s="155"/>
      <c r="G400" s="231"/>
      <c r="H400" s="155"/>
      <c r="I400" s="155"/>
      <c r="J400" s="329"/>
    </row>
    <row r="401" spans="1:10" ht="21.75">
      <c r="A401" s="167"/>
      <c r="B401" s="251" t="s">
        <v>385</v>
      </c>
      <c r="C401" s="157">
        <v>1</v>
      </c>
      <c r="D401" s="167" t="s">
        <v>75</v>
      </c>
      <c r="E401" s="157">
        <v>0</v>
      </c>
      <c r="F401" s="157">
        <f>+C401*E401</f>
        <v>0</v>
      </c>
      <c r="G401" s="157">
        <v>300</v>
      </c>
      <c r="H401" s="157">
        <f>+G401*C401</f>
        <v>300</v>
      </c>
      <c r="I401" s="157">
        <f>+F401+H401</f>
        <v>300</v>
      </c>
      <c r="J401" s="329"/>
    </row>
    <row r="402" spans="1:10" ht="21.75">
      <c r="A402" s="167"/>
      <c r="B402" s="251" t="s">
        <v>376</v>
      </c>
      <c r="C402" s="157">
        <v>1</v>
      </c>
      <c r="D402" s="167" t="s">
        <v>75</v>
      </c>
      <c r="E402" s="157">
        <v>0</v>
      </c>
      <c r="F402" s="157">
        <f>+C402*E402</f>
        <v>0</v>
      </c>
      <c r="G402" s="157">
        <v>300</v>
      </c>
      <c r="H402" s="157">
        <f>+G402*C402</f>
        <v>300</v>
      </c>
      <c r="I402" s="157">
        <f>+F402+H402</f>
        <v>300</v>
      </c>
      <c r="J402" s="329"/>
    </row>
    <row r="403" spans="1:10" ht="21.75">
      <c r="A403" s="167"/>
      <c r="B403" s="251" t="s">
        <v>345</v>
      </c>
      <c r="C403" s="157">
        <v>1</v>
      </c>
      <c r="D403" s="167" t="s">
        <v>75</v>
      </c>
      <c r="E403" s="157">
        <v>0</v>
      </c>
      <c r="F403" s="157">
        <f>+C403*E403</f>
        <v>0</v>
      </c>
      <c r="G403" s="157">
        <v>400</v>
      </c>
      <c r="H403" s="157">
        <f>+G403*C403</f>
        <v>400</v>
      </c>
      <c r="I403" s="157">
        <f>+F403+H403</f>
        <v>400</v>
      </c>
      <c r="J403" s="329"/>
    </row>
    <row r="404" spans="1:10" ht="21.75">
      <c r="A404" s="167"/>
      <c r="B404" s="251" t="s">
        <v>303</v>
      </c>
      <c r="C404" s="157">
        <v>31.4</v>
      </c>
      <c r="D404" s="167" t="s">
        <v>93</v>
      </c>
      <c r="E404" s="157">
        <v>0</v>
      </c>
      <c r="F404" s="157">
        <f>+C404*E404</f>
        <v>0</v>
      </c>
      <c r="G404" s="157">
        <v>40</v>
      </c>
      <c r="H404" s="157">
        <f>+G404*C404</f>
        <v>1256</v>
      </c>
      <c r="I404" s="157">
        <f>+F404+H404</f>
        <v>1256</v>
      </c>
      <c r="J404" s="329"/>
    </row>
    <row r="405" spans="1:10" ht="21.75">
      <c r="A405" s="332"/>
      <c r="B405" s="259" t="s">
        <v>298</v>
      </c>
      <c r="C405" s="163">
        <v>164.5</v>
      </c>
      <c r="D405" s="332" t="s">
        <v>93</v>
      </c>
      <c r="E405" s="163">
        <v>0</v>
      </c>
      <c r="F405" s="163">
        <f>+C405*E405</f>
        <v>0</v>
      </c>
      <c r="G405" s="163">
        <v>25</v>
      </c>
      <c r="H405" s="163">
        <f>+G405*C405</f>
        <v>4112.5</v>
      </c>
      <c r="I405" s="163">
        <f>+F405+H405</f>
        <v>4112.5</v>
      </c>
      <c r="J405" s="329"/>
    </row>
    <row r="406" spans="1:10" ht="21.75">
      <c r="A406" s="353"/>
      <c r="B406" s="354" t="s">
        <v>250</v>
      </c>
      <c r="C406" s="255"/>
      <c r="D406" s="353"/>
      <c r="E406" s="255"/>
      <c r="F406" s="255"/>
      <c r="G406" s="255"/>
      <c r="H406" s="255"/>
      <c r="I406" s="255"/>
      <c r="J406" s="329"/>
    </row>
    <row r="407" spans="1:10" ht="21.75">
      <c r="A407" s="167"/>
      <c r="B407" s="358" t="s">
        <v>272</v>
      </c>
      <c r="C407" s="157"/>
      <c r="D407" s="167"/>
      <c r="E407" s="157"/>
      <c r="F407" s="157"/>
      <c r="G407" s="157"/>
      <c r="H407" s="157"/>
      <c r="I407" s="157"/>
      <c r="J407" s="329"/>
    </row>
    <row r="408" spans="1:10" ht="21.75">
      <c r="A408" s="167"/>
      <c r="B408" s="252" t="s">
        <v>304</v>
      </c>
      <c r="C408" s="157">
        <v>4.45</v>
      </c>
      <c r="D408" s="167" t="s">
        <v>93</v>
      </c>
      <c r="E408" s="157">
        <v>0</v>
      </c>
      <c r="F408" s="157">
        <f>+C408*E408</f>
        <v>0</v>
      </c>
      <c r="G408" s="157">
        <v>120</v>
      </c>
      <c r="H408" s="157">
        <f>+G408*C408</f>
        <v>534</v>
      </c>
      <c r="I408" s="157">
        <f>+F408+H408</f>
        <v>534</v>
      </c>
      <c r="J408" s="329"/>
    </row>
    <row r="409" spans="1:10" ht="21.75">
      <c r="A409" s="167"/>
      <c r="B409" s="252" t="s">
        <v>625</v>
      </c>
      <c r="C409" s="156">
        <v>4.45</v>
      </c>
      <c r="D409" s="162" t="s">
        <v>93</v>
      </c>
      <c r="E409" s="156">
        <v>450</v>
      </c>
      <c r="F409" s="156">
        <f>+C409*E409</f>
        <v>2002.5</v>
      </c>
      <c r="G409" s="156">
        <v>222</v>
      </c>
      <c r="H409" s="156">
        <f>+G409*C409</f>
        <v>987.9000000000001</v>
      </c>
      <c r="I409" s="156">
        <f>+F409+H409</f>
        <v>2990.4</v>
      </c>
      <c r="J409" s="329"/>
    </row>
    <row r="410" spans="1:10" ht="43.5">
      <c r="A410" s="167"/>
      <c r="B410" s="252" t="s">
        <v>690</v>
      </c>
      <c r="C410" s="156">
        <v>162.5</v>
      </c>
      <c r="D410" s="162" t="s">
        <v>93</v>
      </c>
      <c r="E410" s="156">
        <v>650</v>
      </c>
      <c r="F410" s="156">
        <f>+C410*E410</f>
        <v>105625</v>
      </c>
      <c r="G410" s="156">
        <v>120</v>
      </c>
      <c r="H410" s="156">
        <f>+G410*C410</f>
        <v>19500</v>
      </c>
      <c r="I410" s="156">
        <f>+F410+H410</f>
        <v>125125</v>
      </c>
      <c r="J410" s="329"/>
    </row>
    <row r="411" spans="1:10" s="297" customFormat="1" ht="21.75">
      <c r="A411" s="167"/>
      <c r="B411" s="252" t="s">
        <v>573</v>
      </c>
      <c r="C411" s="156">
        <v>53.7</v>
      </c>
      <c r="D411" s="162" t="s">
        <v>181</v>
      </c>
      <c r="E411" s="156">
        <v>120</v>
      </c>
      <c r="F411" s="156">
        <f>+C411*E411</f>
        <v>6444</v>
      </c>
      <c r="G411" s="156">
        <v>30</v>
      </c>
      <c r="H411" s="156">
        <f>+G411*C411</f>
        <v>1611</v>
      </c>
      <c r="I411" s="156">
        <f>+F411+H411</f>
        <v>8055</v>
      </c>
      <c r="J411" s="329"/>
    </row>
    <row r="412" spans="1:10" ht="21.75">
      <c r="A412" s="167"/>
      <c r="B412" s="358" t="s">
        <v>275</v>
      </c>
      <c r="C412" s="157"/>
      <c r="D412" s="167"/>
      <c r="E412" s="157"/>
      <c r="F412" s="157"/>
      <c r="G412" s="157"/>
      <c r="H412" s="157"/>
      <c r="I412" s="157"/>
      <c r="J412" s="329"/>
    </row>
    <row r="413" spans="1:10" ht="42.75" customHeight="1">
      <c r="A413" s="167"/>
      <c r="B413" s="361" t="s">
        <v>386</v>
      </c>
      <c r="C413" s="156">
        <v>35.2</v>
      </c>
      <c r="D413" s="162" t="s">
        <v>93</v>
      </c>
      <c r="E413" s="156">
        <v>273</v>
      </c>
      <c r="F413" s="156">
        <f>+C413*E413</f>
        <v>9609.6</v>
      </c>
      <c r="G413" s="156">
        <v>56</v>
      </c>
      <c r="H413" s="156">
        <f>+G413*C413</f>
        <v>1971.2000000000003</v>
      </c>
      <c r="I413" s="156">
        <f>+F413+H413</f>
        <v>11580.800000000001</v>
      </c>
      <c r="J413" s="329"/>
    </row>
    <row r="414" spans="1:10" ht="21.75" customHeight="1">
      <c r="A414" s="167"/>
      <c r="B414" s="361" t="s">
        <v>525</v>
      </c>
      <c r="C414" s="156">
        <v>23.2</v>
      </c>
      <c r="D414" s="162" t="s">
        <v>93</v>
      </c>
      <c r="E414" s="156">
        <v>520</v>
      </c>
      <c r="F414" s="156">
        <f>+C414*E414</f>
        <v>12064</v>
      </c>
      <c r="G414" s="156">
        <v>201</v>
      </c>
      <c r="H414" s="156">
        <f>+G414*C414</f>
        <v>4663.2</v>
      </c>
      <c r="I414" s="156">
        <f>+F414+H414</f>
        <v>16727.2</v>
      </c>
      <c r="J414" s="329"/>
    </row>
    <row r="415" spans="1:11" ht="21.75" customHeight="1">
      <c r="A415" s="167"/>
      <c r="B415" s="251" t="s">
        <v>377</v>
      </c>
      <c r="C415" s="157">
        <v>82.1</v>
      </c>
      <c r="D415" s="167" t="s">
        <v>93</v>
      </c>
      <c r="E415" s="157">
        <v>75</v>
      </c>
      <c r="F415" s="157">
        <f>+C415*E415</f>
        <v>6157.5</v>
      </c>
      <c r="G415" s="157">
        <v>87</v>
      </c>
      <c r="H415" s="157">
        <f>+G415*C415</f>
        <v>7142.7</v>
      </c>
      <c r="I415" s="157">
        <f>+F415+H415</f>
        <v>13300.2</v>
      </c>
      <c r="J415" s="329"/>
      <c r="K415" s="174"/>
    </row>
    <row r="416" spans="1:10" ht="21.75" customHeight="1">
      <c r="A416" s="167"/>
      <c r="B416" s="358" t="s">
        <v>260</v>
      </c>
      <c r="C416" s="157"/>
      <c r="D416" s="167"/>
      <c r="E416" s="157"/>
      <c r="F416" s="157"/>
      <c r="G416" s="157"/>
      <c r="H416" s="157"/>
      <c r="I416" s="157"/>
      <c r="J416" s="329"/>
    </row>
    <row r="417" spans="1:10" ht="42" customHeight="1">
      <c r="A417" s="167"/>
      <c r="B417" s="386" t="s">
        <v>461</v>
      </c>
      <c r="C417" s="156">
        <v>162.25</v>
      </c>
      <c r="D417" s="162" t="s">
        <v>93</v>
      </c>
      <c r="E417" s="156">
        <v>280</v>
      </c>
      <c r="F417" s="156">
        <f>+C417*E417</f>
        <v>45430</v>
      </c>
      <c r="G417" s="156">
        <v>75</v>
      </c>
      <c r="H417" s="156">
        <f>+G417*C417</f>
        <v>12168.75</v>
      </c>
      <c r="I417" s="156">
        <f>+F417+H417</f>
        <v>57598.75</v>
      </c>
      <c r="J417" s="329"/>
    </row>
    <row r="418" spans="1:10" ht="40.5" customHeight="1">
      <c r="A418" s="332"/>
      <c r="B418" s="597" t="s">
        <v>462</v>
      </c>
      <c r="C418" s="232">
        <v>4.45</v>
      </c>
      <c r="D418" s="261" t="s">
        <v>93</v>
      </c>
      <c r="E418" s="232">
        <v>320</v>
      </c>
      <c r="F418" s="232">
        <f>+C418*E418</f>
        <v>1424</v>
      </c>
      <c r="G418" s="232">
        <v>75</v>
      </c>
      <c r="H418" s="232">
        <f>+G418*C418</f>
        <v>333.75</v>
      </c>
      <c r="I418" s="232">
        <f>+F418+H418</f>
        <v>1757.75</v>
      </c>
      <c r="J418" s="329"/>
    </row>
    <row r="419" spans="1:10" ht="21.75">
      <c r="A419" s="363"/>
      <c r="B419" s="354" t="s">
        <v>261</v>
      </c>
      <c r="C419" s="239"/>
      <c r="D419" s="363"/>
      <c r="E419" s="239"/>
      <c r="F419" s="239"/>
      <c r="G419" s="239"/>
      <c r="H419" s="239"/>
      <c r="I419" s="239"/>
      <c r="J419" s="329"/>
    </row>
    <row r="420" spans="1:10" ht="21.75">
      <c r="A420" s="167"/>
      <c r="B420" s="251" t="s">
        <v>378</v>
      </c>
      <c r="C420" s="157">
        <v>1</v>
      </c>
      <c r="D420" s="167" t="s">
        <v>75</v>
      </c>
      <c r="E420" s="157">
        <v>30500</v>
      </c>
      <c r="F420" s="157">
        <f aca="true" t="shared" si="36" ref="F420:F426">+C420*E420</f>
        <v>30500</v>
      </c>
      <c r="G420" s="157">
        <v>500</v>
      </c>
      <c r="H420" s="157">
        <f>+G420*C420</f>
        <v>500</v>
      </c>
      <c r="I420" s="157">
        <f aca="true" t="shared" si="37" ref="I420:I426">+F420+H420</f>
        <v>31000</v>
      </c>
      <c r="J420" s="329"/>
    </row>
    <row r="421" spans="1:10" ht="21.75">
      <c r="A421" s="167"/>
      <c r="B421" s="251" t="s">
        <v>343</v>
      </c>
      <c r="C421" s="157">
        <v>1</v>
      </c>
      <c r="D421" s="167" t="s">
        <v>75</v>
      </c>
      <c r="E421" s="157">
        <v>6000</v>
      </c>
      <c r="F421" s="157">
        <f t="shared" si="36"/>
        <v>6000</v>
      </c>
      <c r="G421" s="157">
        <v>300</v>
      </c>
      <c r="H421" s="157">
        <f>+G421*C421</f>
        <v>300</v>
      </c>
      <c r="I421" s="157">
        <f t="shared" si="37"/>
        <v>6300</v>
      </c>
      <c r="J421" s="329"/>
    </row>
    <row r="422" spans="1:10" ht="21.75">
      <c r="A422" s="167"/>
      <c r="B422" s="251" t="s">
        <v>626</v>
      </c>
      <c r="C422" s="157">
        <v>1</v>
      </c>
      <c r="D422" s="167" t="s">
        <v>75</v>
      </c>
      <c r="E422" s="157">
        <v>9000</v>
      </c>
      <c r="F422" s="157">
        <f t="shared" si="36"/>
        <v>9000</v>
      </c>
      <c r="G422" s="157">
        <v>300</v>
      </c>
      <c r="H422" s="157">
        <f>+G422*C422</f>
        <v>300</v>
      </c>
      <c r="I422" s="157">
        <f t="shared" si="37"/>
        <v>9300</v>
      </c>
      <c r="J422" s="329"/>
    </row>
    <row r="423" spans="1:10" ht="21.75">
      <c r="A423" s="167"/>
      <c r="B423" s="251" t="s">
        <v>379</v>
      </c>
      <c r="C423" s="157">
        <v>1</v>
      </c>
      <c r="D423" s="167" t="s">
        <v>75</v>
      </c>
      <c r="E423" s="157">
        <v>9000</v>
      </c>
      <c r="F423" s="157">
        <f t="shared" si="36"/>
        <v>9000</v>
      </c>
      <c r="G423" s="157">
        <v>300</v>
      </c>
      <c r="H423" s="157">
        <f>+G423*C423</f>
        <v>300</v>
      </c>
      <c r="I423" s="157">
        <f t="shared" si="37"/>
        <v>9300</v>
      </c>
      <c r="J423" s="329"/>
    </row>
    <row r="424" spans="1:10" ht="21.75">
      <c r="A424" s="167"/>
      <c r="B424" s="251" t="s">
        <v>370</v>
      </c>
      <c r="C424" s="157">
        <v>1</v>
      </c>
      <c r="D424" s="167" t="s">
        <v>75</v>
      </c>
      <c r="E424" s="157">
        <v>1500</v>
      </c>
      <c r="F424" s="157">
        <f t="shared" si="36"/>
        <v>1500</v>
      </c>
      <c r="G424" s="157">
        <v>150</v>
      </c>
      <c r="H424" s="157">
        <f>+G424*C424</f>
        <v>150</v>
      </c>
      <c r="I424" s="157">
        <f t="shared" si="37"/>
        <v>1650</v>
      </c>
      <c r="J424" s="329"/>
    </row>
    <row r="425" spans="1:10" ht="21.75">
      <c r="A425" s="167"/>
      <c r="B425" s="251" t="s">
        <v>380</v>
      </c>
      <c r="C425" s="157">
        <v>1</v>
      </c>
      <c r="D425" s="167" t="s">
        <v>75</v>
      </c>
      <c r="E425" s="157">
        <v>7500</v>
      </c>
      <c r="F425" s="157">
        <f t="shared" si="36"/>
        <v>7500</v>
      </c>
      <c r="G425" s="157">
        <v>350</v>
      </c>
      <c r="H425" s="157">
        <v>600</v>
      </c>
      <c r="I425" s="157">
        <f t="shared" si="37"/>
        <v>8100</v>
      </c>
      <c r="J425" s="329"/>
    </row>
    <row r="426" spans="1:10" ht="21.75">
      <c r="A426" s="167"/>
      <c r="B426" s="251" t="s">
        <v>517</v>
      </c>
      <c r="C426" s="157">
        <v>3</v>
      </c>
      <c r="D426" s="167" t="s">
        <v>75</v>
      </c>
      <c r="E426" s="157">
        <v>250</v>
      </c>
      <c r="F426" s="157">
        <f t="shared" si="36"/>
        <v>750</v>
      </c>
      <c r="G426" s="157">
        <v>150</v>
      </c>
      <c r="H426" s="157">
        <f>+G426*C426</f>
        <v>450</v>
      </c>
      <c r="I426" s="157">
        <f t="shared" si="37"/>
        <v>1200</v>
      </c>
      <c r="J426" s="329"/>
    </row>
    <row r="427" spans="1:10" ht="21.75">
      <c r="A427" s="167"/>
      <c r="B427" s="358" t="s">
        <v>279</v>
      </c>
      <c r="C427" s="157"/>
      <c r="D427" s="167"/>
      <c r="E427" s="157"/>
      <c r="F427" s="157"/>
      <c r="G427" s="157"/>
      <c r="H427" s="157"/>
      <c r="I427" s="157"/>
      <c r="J427" s="329"/>
    </row>
    <row r="428" spans="1:10" s="292" customFormat="1" ht="21.75">
      <c r="A428" s="167"/>
      <c r="B428" s="365" t="s">
        <v>561</v>
      </c>
      <c r="C428" s="156">
        <v>140.1</v>
      </c>
      <c r="D428" s="162" t="s">
        <v>93</v>
      </c>
      <c r="E428" s="156">
        <v>80</v>
      </c>
      <c r="F428" s="156">
        <f>+C428*E428</f>
        <v>11208</v>
      </c>
      <c r="G428" s="156">
        <v>30</v>
      </c>
      <c r="H428" s="156">
        <f>+G428*C428</f>
        <v>4203</v>
      </c>
      <c r="I428" s="156">
        <f>+F428+H428</f>
        <v>15411</v>
      </c>
      <c r="J428" s="329"/>
    </row>
    <row r="429" spans="1:10" s="292" customFormat="1" ht="21.75">
      <c r="A429" s="167"/>
      <c r="B429" s="365" t="s">
        <v>511</v>
      </c>
      <c r="C429" s="157">
        <v>166.35</v>
      </c>
      <c r="D429" s="167" t="s">
        <v>93</v>
      </c>
      <c r="E429" s="157">
        <v>45</v>
      </c>
      <c r="F429" s="157">
        <f>+C429*E429</f>
        <v>7485.75</v>
      </c>
      <c r="G429" s="157">
        <v>30</v>
      </c>
      <c r="H429" s="157">
        <f>+G429*C429</f>
        <v>4990.5</v>
      </c>
      <c r="I429" s="157">
        <f>+F429+H429</f>
        <v>12476.25</v>
      </c>
      <c r="J429" s="329"/>
    </row>
    <row r="430" spans="1:10" ht="21.75">
      <c r="A430" s="167"/>
      <c r="B430" s="358" t="s">
        <v>273</v>
      </c>
      <c r="C430" s="157"/>
      <c r="D430" s="167"/>
      <c r="E430" s="157"/>
      <c r="F430" s="157"/>
      <c r="G430" s="157"/>
      <c r="H430" s="157"/>
      <c r="I430" s="157"/>
      <c r="J430" s="329"/>
    </row>
    <row r="431" spans="1:10" ht="21.75">
      <c r="A431" s="167"/>
      <c r="B431" s="251" t="s">
        <v>308</v>
      </c>
      <c r="C431" s="157">
        <v>1</v>
      </c>
      <c r="D431" s="167" t="s">
        <v>75</v>
      </c>
      <c r="E431" s="157">
        <v>4900</v>
      </c>
      <c r="F431" s="157">
        <f aca="true" t="shared" si="38" ref="F431:F439">+C431*E431</f>
        <v>4900</v>
      </c>
      <c r="G431" s="157">
        <v>450</v>
      </c>
      <c r="H431" s="157">
        <f aca="true" t="shared" si="39" ref="H431:H439">+G431*C431</f>
        <v>450</v>
      </c>
      <c r="I431" s="157">
        <f aca="true" t="shared" si="40" ref="I431:I439">+F431+H431</f>
        <v>5350</v>
      </c>
      <c r="J431" s="329"/>
    </row>
    <row r="432" spans="1:10" ht="42.75" customHeight="1">
      <c r="A432" s="167"/>
      <c r="B432" s="361" t="s">
        <v>464</v>
      </c>
      <c r="C432" s="156">
        <v>1</v>
      </c>
      <c r="D432" s="162" t="s">
        <v>75</v>
      </c>
      <c r="E432" s="156">
        <v>3800</v>
      </c>
      <c r="F432" s="156">
        <f t="shared" si="38"/>
        <v>3800</v>
      </c>
      <c r="G432" s="156">
        <v>450</v>
      </c>
      <c r="H432" s="156">
        <f t="shared" si="39"/>
        <v>450</v>
      </c>
      <c r="I432" s="156">
        <f t="shared" si="40"/>
        <v>4250</v>
      </c>
      <c r="J432" s="329"/>
    </row>
    <row r="433" spans="1:10" ht="21.75">
      <c r="A433" s="167"/>
      <c r="B433" s="251" t="s">
        <v>436</v>
      </c>
      <c r="C433" s="157">
        <v>1</v>
      </c>
      <c r="D433" s="167" t="s">
        <v>75</v>
      </c>
      <c r="E433" s="157">
        <v>1200</v>
      </c>
      <c r="F433" s="157">
        <f t="shared" si="38"/>
        <v>1200</v>
      </c>
      <c r="G433" s="157">
        <v>0</v>
      </c>
      <c r="H433" s="157">
        <f t="shared" si="39"/>
        <v>0</v>
      </c>
      <c r="I433" s="157">
        <f t="shared" si="40"/>
        <v>1200</v>
      </c>
      <c r="J433" s="329"/>
    </row>
    <row r="434" spans="1:10" ht="21.75">
      <c r="A434" s="332"/>
      <c r="B434" s="279" t="s">
        <v>368</v>
      </c>
      <c r="C434" s="163">
        <v>1</v>
      </c>
      <c r="D434" s="332" t="s">
        <v>75</v>
      </c>
      <c r="E434" s="163">
        <v>650</v>
      </c>
      <c r="F434" s="163">
        <f t="shared" si="38"/>
        <v>650</v>
      </c>
      <c r="G434" s="163">
        <v>80</v>
      </c>
      <c r="H434" s="163">
        <f t="shared" si="39"/>
        <v>80</v>
      </c>
      <c r="I434" s="163">
        <f t="shared" si="40"/>
        <v>730</v>
      </c>
      <c r="J434" s="329"/>
    </row>
    <row r="435" spans="1:10" ht="21.75">
      <c r="A435" s="603"/>
      <c r="B435" s="604" t="s">
        <v>615</v>
      </c>
      <c r="C435" s="605">
        <v>1</v>
      </c>
      <c r="D435" s="603" t="s">
        <v>75</v>
      </c>
      <c r="E435" s="605">
        <v>650</v>
      </c>
      <c r="F435" s="605">
        <f t="shared" si="38"/>
        <v>650</v>
      </c>
      <c r="G435" s="605">
        <v>70</v>
      </c>
      <c r="H435" s="605">
        <f t="shared" si="39"/>
        <v>70</v>
      </c>
      <c r="I435" s="605">
        <f t="shared" si="40"/>
        <v>720</v>
      </c>
      <c r="J435" s="329"/>
    </row>
    <row r="436" spans="1:10" ht="21.75">
      <c r="A436" s="363"/>
      <c r="B436" s="364" t="s">
        <v>614</v>
      </c>
      <c r="C436" s="239">
        <v>1</v>
      </c>
      <c r="D436" s="363" t="s">
        <v>75</v>
      </c>
      <c r="E436" s="239">
        <v>450</v>
      </c>
      <c r="F436" s="239">
        <f t="shared" si="38"/>
        <v>450</v>
      </c>
      <c r="G436" s="239">
        <v>75</v>
      </c>
      <c r="H436" s="239">
        <f t="shared" si="39"/>
        <v>75</v>
      </c>
      <c r="I436" s="239">
        <f t="shared" si="40"/>
        <v>525</v>
      </c>
      <c r="J436" s="329"/>
    </row>
    <row r="437" spans="1:10" ht="21.75">
      <c r="A437" s="167"/>
      <c r="B437" s="251" t="s">
        <v>450</v>
      </c>
      <c r="C437" s="157">
        <v>0.97</v>
      </c>
      <c r="D437" s="167" t="s">
        <v>93</v>
      </c>
      <c r="E437" s="156">
        <v>6500</v>
      </c>
      <c r="F437" s="157">
        <f t="shared" si="38"/>
        <v>6305</v>
      </c>
      <c r="G437" s="157">
        <v>0</v>
      </c>
      <c r="H437" s="157">
        <f t="shared" si="39"/>
        <v>0</v>
      </c>
      <c r="I437" s="157">
        <f t="shared" si="40"/>
        <v>6305</v>
      </c>
      <c r="J437" s="329"/>
    </row>
    <row r="438" spans="1:10" ht="43.5">
      <c r="A438" s="167"/>
      <c r="B438" s="365" t="s">
        <v>463</v>
      </c>
      <c r="C438" s="156">
        <v>1</v>
      </c>
      <c r="D438" s="162" t="s">
        <v>181</v>
      </c>
      <c r="E438" s="156">
        <v>1450</v>
      </c>
      <c r="F438" s="156">
        <f>+C438*E438</f>
        <v>1450</v>
      </c>
      <c r="G438" s="156">
        <v>0</v>
      </c>
      <c r="H438" s="156">
        <f>+G438*C438</f>
        <v>0</v>
      </c>
      <c r="I438" s="156">
        <f>+F438+H438</f>
        <v>1450</v>
      </c>
      <c r="J438" s="329"/>
    </row>
    <row r="439" spans="1:10" ht="43.5">
      <c r="A439" s="167"/>
      <c r="B439" s="365" t="s">
        <v>465</v>
      </c>
      <c r="C439" s="156">
        <v>1</v>
      </c>
      <c r="D439" s="162" t="s">
        <v>75</v>
      </c>
      <c r="E439" s="156">
        <v>8000</v>
      </c>
      <c r="F439" s="156">
        <f t="shared" si="38"/>
        <v>8000</v>
      </c>
      <c r="G439" s="156">
        <v>450</v>
      </c>
      <c r="H439" s="156">
        <f t="shared" si="39"/>
        <v>450</v>
      </c>
      <c r="I439" s="156">
        <f t="shared" si="40"/>
        <v>8450</v>
      </c>
      <c r="J439" s="329"/>
    </row>
    <row r="440" spans="1:10" ht="46.5" customHeight="1">
      <c r="A440" s="235"/>
      <c r="B440" s="593" t="s">
        <v>575</v>
      </c>
      <c r="C440" s="372"/>
      <c r="D440" s="372"/>
      <c r="E440" s="372"/>
      <c r="F440" s="228">
        <f>SUM(F401:F439)</f>
        <v>299105.35</v>
      </c>
      <c r="G440" s="372"/>
      <c r="H440" s="228">
        <f>SUM(H401:H439)</f>
        <v>68649.5</v>
      </c>
      <c r="I440" s="228">
        <f>SUM(I401:I439)</f>
        <v>367754.85</v>
      </c>
      <c r="J440" s="329"/>
    </row>
    <row r="441" spans="1:10" ht="21.75">
      <c r="A441" s="336">
        <v>1.15</v>
      </c>
      <c r="B441" s="358" t="s">
        <v>333</v>
      </c>
      <c r="C441" s="231"/>
      <c r="D441" s="231"/>
      <c r="E441" s="231"/>
      <c r="F441" s="155"/>
      <c r="G441" s="231"/>
      <c r="H441" s="155"/>
      <c r="I441" s="155"/>
      <c r="J441" s="329"/>
    </row>
    <row r="442" spans="1:10" ht="21.75">
      <c r="A442" s="167"/>
      <c r="B442" s="358" t="s">
        <v>259</v>
      </c>
      <c r="C442" s="157"/>
      <c r="D442" s="167"/>
      <c r="E442" s="157"/>
      <c r="F442" s="157"/>
      <c r="G442" s="157"/>
      <c r="H442" s="157"/>
      <c r="I442" s="157"/>
      <c r="J442" s="329"/>
    </row>
    <row r="443" spans="1:10" ht="21.75">
      <c r="A443" s="167"/>
      <c r="B443" s="252" t="s">
        <v>304</v>
      </c>
      <c r="C443" s="157">
        <v>5.8</v>
      </c>
      <c r="D443" s="167" t="s">
        <v>93</v>
      </c>
      <c r="E443" s="157">
        <v>0</v>
      </c>
      <c r="F443" s="157">
        <f>+C443*E443</f>
        <v>0</v>
      </c>
      <c r="G443" s="157">
        <v>120</v>
      </c>
      <c r="H443" s="157">
        <f>+G443*C443</f>
        <v>696</v>
      </c>
      <c r="I443" s="157">
        <f>+F443+H443</f>
        <v>696</v>
      </c>
      <c r="J443" s="329"/>
    </row>
    <row r="444" spans="1:10" ht="21.75">
      <c r="A444" s="167"/>
      <c r="B444" s="252" t="s">
        <v>520</v>
      </c>
      <c r="C444" s="156">
        <v>5.8</v>
      </c>
      <c r="D444" s="162" t="s">
        <v>93</v>
      </c>
      <c r="E444" s="156">
        <v>450</v>
      </c>
      <c r="F444" s="156">
        <f>+C444*E444</f>
        <v>2610</v>
      </c>
      <c r="G444" s="156">
        <v>222</v>
      </c>
      <c r="H444" s="156">
        <f>+G444*C444</f>
        <v>1287.6</v>
      </c>
      <c r="I444" s="156">
        <f>+F444+H444</f>
        <v>3897.6</v>
      </c>
      <c r="J444" s="329"/>
    </row>
    <row r="445" spans="1:10" ht="21.75">
      <c r="A445" s="167"/>
      <c r="B445" s="358" t="s">
        <v>258</v>
      </c>
      <c r="C445" s="157"/>
      <c r="D445" s="167"/>
      <c r="E445" s="157"/>
      <c r="F445" s="157"/>
      <c r="G445" s="157"/>
      <c r="H445" s="157"/>
      <c r="I445" s="157"/>
      <c r="J445" s="329"/>
    </row>
    <row r="446" spans="1:10" ht="43.5" customHeight="1">
      <c r="A446" s="167"/>
      <c r="B446" s="361" t="s">
        <v>364</v>
      </c>
      <c r="C446" s="156">
        <v>17.72</v>
      </c>
      <c r="D446" s="162" t="s">
        <v>93</v>
      </c>
      <c r="E446" s="156">
        <v>273</v>
      </c>
      <c r="F446" s="156">
        <f>+C446*E446</f>
        <v>4837.5599999999995</v>
      </c>
      <c r="G446" s="156">
        <v>56</v>
      </c>
      <c r="H446" s="156">
        <f>+G446*C446</f>
        <v>992.3199999999999</v>
      </c>
      <c r="I446" s="156">
        <f>+F446+H446</f>
        <v>5829.879999999999</v>
      </c>
      <c r="J446" s="329"/>
    </row>
    <row r="447" spans="1:10" ht="21.75" customHeight="1">
      <c r="A447" s="332"/>
      <c r="B447" s="375" t="s">
        <v>525</v>
      </c>
      <c r="C447" s="232">
        <v>14</v>
      </c>
      <c r="D447" s="261" t="s">
        <v>93</v>
      </c>
      <c r="E447" s="232">
        <v>520</v>
      </c>
      <c r="F447" s="232">
        <f>+C447*E447</f>
        <v>7280</v>
      </c>
      <c r="G447" s="232">
        <v>201</v>
      </c>
      <c r="H447" s="232">
        <f>+G447*C447</f>
        <v>2814</v>
      </c>
      <c r="I447" s="232">
        <f>+F447+H447</f>
        <v>10094</v>
      </c>
      <c r="J447" s="329"/>
    </row>
    <row r="448" spans="1:10" ht="21.75" customHeight="1">
      <c r="A448" s="363"/>
      <c r="B448" s="364" t="s">
        <v>381</v>
      </c>
      <c r="C448" s="239">
        <v>28</v>
      </c>
      <c r="D448" s="363" t="s">
        <v>93</v>
      </c>
      <c r="E448" s="239">
        <v>75</v>
      </c>
      <c r="F448" s="239">
        <f>+C448*E448</f>
        <v>2100</v>
      </c>
      <c r="G448" s="239">
        <v>87</v>
      </c>
      <c r="H448" s="239">
        <f>+G448*C448</f>
        <v>2436</v>
      </c>
      <c r="I448" s="239">
        <f>+F448+H448</f>
        <v>4536</v>
      </c>
      <c r="J448" s="329"/>
    </row>
    <row r="449" spans="1:10" ht="21.75" customHeight="1">
      <c r="A449" s="167"/>
      <c r="B449" s="358" t="s">
        <v>260</v>
      </c>
      <c r="C449" s="157"/>
      <c r="D449" s="167"/>
      <c r="E449" s="157"/>
      <c r="F449" s="157"/>
      <c r="G449" s="157"/>
      <c r="H449" s="157"/>
      <c r="I449" s="157"/>
      <c r="J449" s="329"/>
    </row>
    <row r="450" spans="1:10" ht="42" customHeight="1">
      <c r="A450" s="167"/>
      <c r="B450" s="386" t="s">
        <v>466</v>
      </c>
      <c r="C450" s="156">
        <v>5.8</v>
      </c>
      <c r="D450" s="162" t="s">
        <v>93</v>
      </c>
      <c r="E450" s="156">
        <v>320</v>
      </c>
      <c r="F450" s="156">
        <f>+C450*E450</f>
        <v>1856</v>
      </c>
      <c r="G450" s="156">
        <v>97</v>
      </c>
      <c r="H450" s="156">
        <f>+G450*C450</f>
        <v>562.6</v>
      </c>
      <c r="I450" s="156">
        <f>+F450+H450</f>
        <v>2418.6</v>
      </c>
      <c r="J450" s="329"/>
    </row>
    <row r="451" spans="1:10" ht="21.75">
      <c r="A451" s="167"/>
      <c r="B451" s="358" t="s">
        <v>261</v>
      </c>
      <c r="C451" s="157"/>
      <c r="D451" s="167"/>
      <c r="E451" s="157"/>
      <c r="F451" s="157"/>
      <c r="G451" s="157"/>
      <c r="H451" s="157"/>
      <c r="I451" s="157"/>
      <c r="J451" s="329"/>
    </row>
    <row r="452" spans="1:10" ht="21.75">
      <c r="A452" s="167"/>
      <c r="B452" s="251" t="s">
        <v>382</v>
      </c>
      <c r="C452" s="157">
        <v>1</v>
      </c>
      <c r="D452" s="167" t="s">
        <v>75</v>
      </c>
      <c r="E452" s="157">
        <v>4000</v>
      </c>
      <c r="F452" s="157">
        <f>+C452*E452</f>
        <v>4000</v>
      </c>
      <c r="G452" s="157">
        <v>300</v>
      </c>
      <c r="H452" s="157">
        <f>+G452*C452</f>
        <v>300</v>
      </c>
      <c r="I452" s="157">
        <f>+F452+H452</f>
        <v>4300</v>
      </c>
      <c r="J452" s="329"/>
    </row>
    <row r="453" spans="1:10" ht="21.75">
      <c r="A453" s="167"/>
      <c r="B453" s="251" t="s">
        <v>447</v>
      </c>
      <c r="C453" s="157">
        <v>1</v>
      </c>
      <c r="D453" s="167" t="s">
        <v>75</v>
      </c>
      <c r="E453" s="157">
        <v>9500</v>
      </c>
      <c r="F453" s="157">
        <f>+C453*E453</f>
        <v>9500</v>
      </c>
      <c r="G453" s="157">
        <v>300</v>
      </c>
      <c r="H453" s="157">
        <f>+G453*C453</f>
        <v>300</v>
      </c>
      <c r="I453" s="157">
        <f>+F453+H453</f>
        <v>9800</v>
      </c>
      <c r="J453" s="329"/>
    </row>
    <row r="454" spans="1:10" ht="21.75">
      <c r="A454" s="167"/>
      <c r="B454" s="358" t="s">
        <v>266</v>
      </c>
      <c r="C454" s="157"/>
      <c r="D454" s="167"/>
      <c r="E454" s="157"/>
      <c r="F454" s="157"/>
      <c r="G454" s="157"/>
      <c r="H454" s="157"/>
      <c r="I454" s="157"/>
      <c r="J454" s="329"/>
    </row>
    <row r="455" spans="1:12" s="292" customFormat="1" ht="21.75" customHeight="1">
      <c r="A455" s="167"/>
      <c r="B455" s="252" t="s">
        <v>511</v>
      </c>
      <c r="C455" s="156">
        <v>5.8</v>
      </c>
      <c r="D455" s="162" t="s">
        <v>93</v>
      </c>
      <c r="E455" s="156">
        <v>45</v>
      </c>
      <c r="F455" s="156">
        <f>+C455*E455</f>
        <v>261</v>
      </c>
      <c r="G455" s="156">
        <v>30</v>
      </c>
      <c r="H455" s="156">
        <f>+G455*C455</f>
        <v>174</v>
      </c>
      <c r="I455" s="156">
        <f>+F455+H455</f>
        <v>435</v>
      </c>
      <c r="J455" s="329"/>
      <c r="K455" s="294"/>
      <c r="L455" s="291"/>
    </row>
    <row r="456" spans="1:12" s="292" customFormat="1" ht="21.75">
      <c r="A456" s="167"/>
      <c r="B456" s="251" t="s">
        <v>564</v>
      </c>
      <c r="C456" s="157">
        <v>14</v>
      </c>
      <c r="D456" s="167" t="s">
        <v>93</v>
      </c>
      <c r="E456" s="157">
        <v>80</v>
      </c>
      <c r="F456" s="157">
        <f>+C456*E456</f>
        <v>1120</v>
      </c>
      <c r="G456" s="157">
        <v>30</v>
      </c>
      <c r="H456" s="157">
        <f>+G456*C456</f>
        <v>420</v>
      </c>
      <c r="I456" s="157">
        <f>+F456+H456</f>
        <v>1540</v>
      </c>
      <c r="J456" s="329"/>
      <c r="K456" s="293"/>
      <c r="L456" s="291"/>
    </row>
    <row r="457" spans="1:12" ht="21.75">
      <c r="A457" s="167"/>
      <c r="B457" s="358" t="s">
        <v>281</v>
      </c>
      <c r="C457" s="157"/>
      <c r="D457" s="167"/>
      <c r="E457" s="157"/>
      <c r="F457" s="157"/>
      <c r="G457" s="157"/>
      <c r="H457" s="157"/>
      <c r="I457" s="157"/>
      <c r="J457" s="329"/>
      <c r="K457" s="91"/>
      <c r="L457" s="91"/>
    </row>
    <row r="458" spans="1:10" ht="21.75">
      <c r="A458" s="167"/>
      <c r="B458" s="251" t="s">
        <v>353</v>
      </c>
      <c r="C458" s="157">
        <v>1</v>
      </c>
      <c r="D458" s="167" t="s">
        <v>75</v>
      </c>
      <c r="E458" s="157">
        <v>4900</v>
      </c>
      <c r="F458" s="157">
        <f aca="true" t="shared" si="41" ref="F458:F463">+C458*E458</f>
        <v>4900</v>
      </c>
      <c r="G458" s="157">
        <v>450</v>
      </c>
      <c r="H458" s="157">
        <f aca="true" t="shared" si="42" ref="H458:H463">+G458*C458</f>
        <v>450</v>
      </c>
      <c r="I458" s="157">
        <f aca="true" t="shared" si="43" ref="I458:I463">+F458+H458</f>
        <v>5350</v>
      </c>
      <c r="J458" s="329"/>
    </row>
    <row r="459" spans="1:12" ht="21.75">
      <c r="A459" s="167"/>
      <c r="B459" s="365" t="s">
        <v>616</v>
      </c>
      <c r="C459" s="156">
        <v>1</v>
      </c>
      <c r="D459" s="162" t="s">
        <v>75</v>
      </c>
      <c r="E459" s="156">
        <v>3500</v>
      </c>
      <c r="F459" s="156">
        <f t="shared" si="41"/>
        <v>3500</v>
      </c>
      <c r="G459" s="156">
        <v>450</v>
      </c>
      <c r="H459" s="156">
        <f t="shared" si="42"/>
        <v>450</v>
      </c>
      <c r="I459" s="156">
        <f t="shared" si="43"/>
        <v>3950</v>
      </c>
      <c r="J459" s="329"/>
      <c r="L459" s="177"/>
    </row>
    <row r="460" spans="1:10" ht="21.75">
      <c r="A460" s="167"/>
      <c r="B460" s="251" t="s">
        <v>436</v>
      </c>
      <c r="C460" s="157">
        <v>1</v>
      </c>
      <c r="D460" s="167" t="s">
        <v>75</v>
      </c>
      <c r="E460" s="157">
        <v>1200</v>
      </c>
      <c r="F460" s="157">
        <f t="shared" si="41"/>
        <v>1200</v>
      </c>
      <c r="G460" s="157">
        <v>0</v>
      </c>
      <c r="H460" s="157">
        <f t="shared" si="42"/>
        <v>0</v>
      </c>
      <c r="I460" s="157">
        <f t="shared" si="43"/>
        <v>1200</v>
      </c>
      <c r="J460" s="329"/>
    </row>
    <row r="461" spans="1:10" ht="21.75">
      <c r="A461" s="167"/>
      <c r="B461" s="271" t="s">
        <v>321</v>
      </c>
      <c r="C461" s="157">
        <v>1</v>
      </c>
      <c r="D461" s="167" t="s">
        <v>75</v>
      </c>
      <c r="E461" s="157">
        <v>650</v>
      </c>
      <c r="F461" s="157">
        <f t="shared" si="41"/>
        <v>650</v>
      </c>
      <c r="G461" s="157">
        <v>80</v>
      </c>
      <c r="H461" s="157">
        <f t="shared" si="42"/>
        <v>80</v>
      </c>
      <c r="I461" s="157">
        <f t="shared" si="43"/>
        <v>730</v>
      </c>
      <c r="J461" s="329"/>
    </row>
    <row r="462" spans="1:10" ht="21.75">
      <c r="A462" s="167"/>
      <c r="B462" s="251" t="s">
        <v>607</v>
      </c>
      <c r="C462" s="157">
        <v>1</v>
      </c>
      <c r="D462" s="167" t="s">
        <v>75</v>
      </c>
      <c r="E462" s="157">
        <v>650</v>
      </c>
      <c r="F462" s="157">
        <f t="shared" si="41"/>
        <v>650</v>
      </c>
      <c r="G462" s="157">
        <v>70</v>
      </c>
      <c r="H462" s="157">
        <f t="shared" si="42"/>
        <v>70</v>
      </c>
      <c r="I462" s="157">
        <f t="shared" si="43"/>
        <v>720</v>
      </c>
      <c r="J462" s="329"/>
    </row>
    <row r="463" spans="1:10" ht="21.75">
      <c r="A463" s="332"/>
      <c r="B463" s="259" t="s">
        <v>467</v>
      </c>
      <c r="C463" s="163">
        <v>1</v>
      </c>
      <c r="D463" s="332" t="s">
        <v>75</v>
      </c>
      <c r="E463" s="163">
        <v>700</v>
      </c>
      <c r="F463" s="163">
        <f t="shared" si="41"/>
        <v>700</v>
      </c>
      <c r="G463" s="163">
        <v>70</v>
      </c>
      <c r="H463" s="163">
        <f t="shared" si="42"/>
        <v>70</v>
      </c>
      <c r="I463" s="163">
        <f t="shared" si="43"/>
        <v>770</v>
      </c>
      <c r="J463" s="329"/>
    </row>
    <row r="464" spans="1:10" ht="43.5">
      <c r="A464" s="363"/>
      <c r="B464" s="376" t="s">
        <v>463</v>
      </c>
      <c r="C464" s="234">
        <v>1.8</v>
      </c>
      <c r="D464" s="256" t="s">
        <v>181</v>
      </c>
      <c r="E464" s="234">
        <v>1450</v>
      </c>
      <c r="F464" s="234">
        <f>+C464*E464</f>
        <v>2610</v>
      </c>
      <c r="G464" s="234">
        <v>0</v>
      </c>
      <c r="H464" s="234">
        <f>+G464*C464</f>
        <v>0</v>
      </c>
      <c r="I464" s="234">
        <f>+F464+H464</f>
        <v>2610</v>
      </c>
      <c r="J464" s="329"/>
    </row>
    <row r="465" spans="1:10" ht="21.75">
      <c r="A465" s="235"/>
      <c r="B465" s="366" t="s">
        <v>251</v>
      </c>
      <c r="C465" s="231"/>
      <c r="D465" s="231"/>
      <c r="E465" s="231"/>
      <c r="F465" s="155">
        <f>SUM(F443:F464)</f>
        <v>47774.56</v>
      </c>
      <c r="G465" s="231"/>
      <c r="H465" s="155">
        <f>SUM(H443:H464)</f>
        <v>11102.52</v>
      </c>
      <c r="I465" s="155">
        <f>SUM(I443:I464)</f>
        <v>58877.08</v>
      </c>
      <c r="J465" s="329"/>
    </row>
    <row r="466" spans="1:10" ht="21.75">
      <c r="A466" s="336">
        <v>1.16</v>
      </c>
      <c r="B466" s="358" t="s">
        <v>468</v>
      </c>
      <c r="C466" s="231"/>
      <c r="D466" s="231"/>
      <c r="E466" s="231"/>
      <c r="F466" s="155"/>
      <c r="G466" s="231"/>
      <c r="H466" s="155"/>
      <c r="I466" s="155"/>
      <c r="J466" s="329"/>
    </row>
    <row r="467" spans="1:10" ht="21.75">
      <c r="A467" s="336"/>
      <c r="B467" s="252" t="s">
        <v>550</v>
      </c>
      <c r="C467" s="157">
        <v>43.45</v>
      </c>
      <c r="D467" s="167" t="s">
        <v>93</v>
      </c>
      <c r="E467" s="157">
        <v>0</v>
      </c>
      <c r="F467" s="157">
        <f>+C467*E467</f>
        <v>0</v>
      </c>
      <c r="G467" s="157">
        <v>35</v>
      </c>
      <c r="H467" s="157">
        <f>+G467*C467</f>
        <v>1520.75</v>
      </c>
      <c r="I467" s="157">
        <f>+F467+H467</f>
        <v>1520.75</v>
      </c>
      <c r="J467" s="329"/>
    </row>
    <row r="468" spans="1:10" ht="43.5">
      <c r="A468" s="167"/>
      <c r="B468" s="252" t="s">
        <v>577</v>
      </c>
      <c r="C468" s="156">
        <v>68.9</v>
      </c>
      <c r="D468" s="162" t="s">
        <v>93</v>
      </c>
      <c r="E468" s="156">
        <v>5500</v>
      </c>
      <c r="F468" s="156">
        <f>+C468*E468</f>
        <v>378950.00000000006</v>
      </c>
      <c r="G468" s="156">
        <v>200</v>
      </c>
      <c r="H468" s="156">
        <f>+G468*C468</f>
        <v>13780.000000000002</v>
      </c>
      <c r="I468" s="156">
        <f>+F468+H468</f>
        <v>392730.00000000006</v>
      </c>
      <c r="J468" s="329"/>
    </row>
    <row r="469" spans="1:10" s="297" customFormat="1" ht="43.5">
      <c r="A469" s="167"/>
      <c r="B469" s="252" t="s">
        <v>578</v>
      </c>
      <c r="C469" s="156">
        <v>24.5</v>
      </c>
      <c r="D469" s="162" t="s">
        <v>93</v>
      </c>
      <c r="E469" s="156">
        <v>1250</v>
      </c>
      <c r="F469" s="156">
        <f>+C469*E469</f>
        <v>30625</v>
      </c>
      <c r="G469" s="156">
        <v>220</v>
      </c>
      <c r="H469" s="156">
        <f>+G469*C469</f>
        <v>5390</v>
      </c>
      <c r="I469" s="156">
        <f>+F469+H469</f>
        <v>36015</v>
      </c>
      <c r="J469" s="329"/>
    </row>
    <row r="470" spans="1:10" ht="21.75" customHeight="1">
      <c r="A470" s="235"/>
      <c r="B470" s="388" t="s">
        <v>252</v>
      </c>
      <c r="C470" s="231"/>
      <c r="D470" s="231"/>
      <c r="E470" s="231"/>
      <c r="F470" s="228">
        <f>SUM(F467:F469)</f>
        <v>409575.00000000006</v>
      </c>
      <c r="G470" s="372"/>
      <c r="H470" s="228">
        <f>SUM(H467:H469)</f>
        <v>20690.75</v>
      </c>
      <c r="I470" s="228">
        <f>SUM(I467:I469)</f>
        <v>430265.75000000006</v>
      </c>
      <c r="J470" s="329"/>
    </row>
    <row r="471" spans="1:10" ht="21.75">
      <c r="A471" s="336">
        <v>1.17</v>
      </c>
      <c r="B471" s="388" t="s">
        <v>400</v>
      </c>
      <c r="C471" s="231"/>
      <c r="D471" s="231"/>
      <c r="E471" s="231"/>
      <c r="F471" s="155"/>
      <c r="G471" s="231"/>
      <c r="H471" s="155"/>
      <c r="I471" s="155"/>
      <c r="J471" s="329"/>
    </row>
    <row r="472" spans="1:10" ht="21.75">
      <c r="A472" s="235"/>
      <c r="B472" s="252" t="s">
        <v>551</v>
      </c>
      <c r="C472" s="156">
        <v>4</v>
      </c>
      <c r="D472" s="162" t="s">
        <v>76</v>
      </c>
      <c r="E472" s="156">
        <v>1250</v>
      </c>
      <c r="F472" s="156">
        <f>+C472*E472</f>
        <v>5000</v>
      </c>
      <c r="G472" s="156">
        <v>60</v>
      </c>
      <c r="H472" s="156">
        <f>+G472*C472</f>
        <v>240</v>
      </c>
      <c r="I472" s="156">
        <f>+F472+H472</f>
        <v>5240</v>
      </c>
      <c r="J472" s="329"/>
    </row>
    <row r="473" spans="1:10" ht="21.75">
      <c r="A473" s="235"/>
      <c r="B473" s="252" t="s">
        <v>477</v>
      </c>
      <c r="C473" s="156">
        <v>314.5</v>
      </c>
      <c r="D473" s="162" t="s">
        <v>93</v>
      </c>
      <c r="E473" s="156">
        <v>85</v>
      </c>
      <c r="F473" s="156">
        <f>+C473*E473</f>
        <v>26732.5</v>
      </c>
      <c r="G473" s="156">
        <v>50</v>
      </c>
      <c r="H473" s="156">
        <f>+G473*C473</f>
        <v>15725</v>
      </c>
      <c r="I473" s="156">
        <f>+F473+H473</f>
        <v>42457.5</v>
      </c>
      <c r="J473" s="329"/>
    </row>
    <row r="474" spans="1:10" ht="21.75">
      <c r="A474" s="235"/>
      <c r="B474" s="252" t="s">
        <v>478</v>
      </c>
      <c r="C474" s="156">
        <v>169</v>
      </c>
      <c r="D474" s="162" t="s">
        <v>93</v>
      </c>
      <c r="E474" s="156">
        <v>120</v>
      </c>
      <c r="F474" s="156">
        <f>+C474*E474</f>
        <v>20280</v>
      </c>
      <c r="G474" s="156">
        <v>30</v>
      </c>
      <c r="H474" s="156">
        <f>+G474*C474</f>
        <v>5070</v>
      </c>
      <c r="I474" s="156">
        <f>+F474+H474</f>
        <v>25350</v>
      </c>
      <c r="J474" s="329"/>
    </row>
    <row r="475" spans="1:10" ht="21.75">
      <c r="A475" s="235"/>
      <c r="B475" s="252" t="s">
        <v>634</v>
      </c>
      <c r="C475" s="156">
        <v>42.85</v>
      </c>
      <c r="D475" s="162" t="s">
        <v>93</v>
      </c>
      <c r="E475" s="156">
        <v>550</v>
      </c>
      <c r="F475" s="156">
        <f>+C475*E475</f>
        <v>23567.5</v>
      </c>
      <c r="G475" s="156">
        <v>120</v>
      </c>
      <c r="H475" s="156">
        <f>+G475*C475</f>
        <v>5142</v>
      </c>
      <c r="I475" s="156">
        <f>+F475+H475</f>
        <v>28709.5</v>
      </c>
      <c r="J475" s="329"/>
    </row>
    <row r="476" spans="1:10" ht="21.75">
      <c r="A476" s="349"/>
      <c r="B476" s="596" t="s">
        <v>404</v>
      </c>
      <c r="C476" s="369"/>
      <c r="D476" s="369"/>
      <c r="E476" s="369"/>
      <c r="F476" s="180">
        <f>SUM(F472:F475)</f>
        <v>75580</v>
      </c>
      <c r="G476" s="369"/>
      <c r="H476" s="180">
        <f>SUM(H472:H475)</f>
        <v>26177</v>
      </c>
      <c r="I476" s="180">
        <f>SUM(I472:I475)</f>
        <v>101757</v>
      </c>
      <c r="J476" s="329"/>
    </row>
    <row r="477" spans="1:10" ht="21.75">
      <c r="A477" s="333">
        <v>1.18</v>
      </c>
      <c r="B477" s="595" t="s">
        <v>535</v>
      </c>
      <c r="C477" s="239"/>
      <c r="D477" s="363"/>
      <c r="E477" s="239"/>
      <c r="F477" s="239"/>
      <c r="G477" s="239"/>
      <c r="H477" s="239"/>
      <c r="I477" s="239"/>
      <c r="J477" s="329"/>
    </row>
    <row r="478" spans="1:10" ht="21.75">
      <c r="A478" s="235"/>
      <c r="B478" s="253" t="s">
        <v>469</v>
      </c>
      <c r="C478" s="157">
        <v>7.5</v>
      </c>
      <c r="D478" s="254" t="s">
        <v>93</v>
      </c>
      <c r="E478" s="389">
        <v>0</v>
      </c>
      <c r="F478" s="157">
        <f>+C478*E478</f>
        <v>0</v>
      </c>
      <c r="G478" s="157">
        <v>35</v>
      </c>
      <c r="H478" s="157">
        <f>+G478*C478</f>
        <v>262.5</v>
      </c>
      <c r="I478" s="157">
        <f>+F478+H478</f>
        <v>262.5</v>
      </c>
      <c r="J478" s="329"/>
    </row>
    <row r="479" spans="1:10" ht="21.75">
      <c r="A479" s="235"/>
      <c r="B479" s="252" t="s">
        <v>520</v>
      </c>
      <c r="C479" s="157">
        <v>7.5</v>
      </c>
      <c r="D479" s="254" t="s">
        <v>93</v>
      </c>
      <c r="E479" s="389">
        <v>450</v>
      </c>
      <c r="F479" s="157">
        <f>+C479*E479</f>
        <v>3375</v>
      </c>
      <c r="G479" s="157">
        <v>222</v>
      </c>
      <c r="H479" s="157">
        <f>+G479*C479</f>
        <v>1665</v>
      </c>
      <c r="I479" s="157">
        <f>+F479+H479</f>
        <v>5040</v>
      </c>
      <c r="J479" s="329"/>
    </row>
    <row r="480" spans="1:10" ht="21.75">
      <c r="A480" s="235"/>
      <c r="B480" s="253" t="s">
        <v>629</v>
      </c>
      <c r="C480" s="157">
        <v>1</v>
      </c>
      <c r="D480" s="254" t="s">
        <v>75</v>
      </c>
      <c r="E480" s="157">
        <v>16500</v>
      </c>
      <c r="F480" s="157">
        <f>+C480*E480</f>
        <v>16500</v>
      </c>
      <c r="G480" s="157">
        <v>0</v>
      </c>
      <c r="H480" s="157">
        <f>+G480*C480</f>
        <v>0</v>
      </c>
      <c r="I480" s="157">
        <f>+F480+H480</f>
        <v>16500</v>
      </c>
      <c r="J480" s="329"/>
    </row>
    <row r="481" spans="1:10" ht="21.75">
      <c r="A481" s="235"/>
      <c r="B481" s="253" t="s">
        <v>509</v>
      </c>
      <c r="C481" s="157">
        <v>1</v>
      </c>
      <c r="D481" s="254" t="s">
        <v>76</v>
      </c>
      <c r="E481" s="157">
        <v>1000</v>
      </c>
      <c r="F481" s="157">
        <f>+C481*E481</f>
        <v>1000</v>
      </c>
      <c r="G481" s="157">
        <v>300</v>
      </c>
      <c r="H481" s="157">
        <f>+G481*C481</f>
        <v>300</v>
      </c>
      <c r="I481" s="157">
        <f>+F481+H481</f>
        <v>1300</v>
      </c>
      <c r="J481" s="329"/>
    </row>
    <row r="482" spans="1:10" ht="21.75">
      <c r="A482" s="235"/>
      <c r="B482" s="366" t="s">
        <v>536</v>
      </c>
      <c r="C482" s="155"/>
      <c r="D482" s="235"/>
      <c r="E482" s="155"/>
      <c r="F482" s="155">
        <f>SUM(F478:F481)</f>
        <v>20875</v>
      </c>
      <c r="G482" s="155"/>
      <c r="H482" s="155">
        <f>SUM(H478:H481)</f>
        <v>2227.5</v>
      </c>
      <c r="I482" s="155">
        <f>SUM(I478:I481)</f>
        <v>23102.5</v>
      </c>
      <c r="J482" s="329"/>
    </row>
    <row r="483" spans="1:10" ht="21.75">
      <c r="A483" s="336">
        <v>1.19</v>
      </c>
      <c r="B483" s="358" t="s">
        <v>283</v>
      </c>
      <c r="C483" s="231"/>
      <c r="D483" s="231"/>
      <c r="E483" s="231"/>
      <c r="F483" s="155"/>
      <c r="G483" s="231"/>
      <c r="H483" s="155"/>
      <c r="I483" s="155"/>
      <c r="J483" s="329"/>
    </row>
    <row r="484" spans="1:10" ht="21.75">
      <c r="A484" s="336"/>
      <c r="B484" s="358" t="s">
        <v>92</v>
      </c>
      <c r="C484" s="231"/>
      <c r="D484" s="231"/>
      <c r="E484" s="231"/>
      <c r="F484" s="155"/>
      <c r="G484" s="231"/>
      <c r="H484" s="155"/>
      <c r="I484" s="155"/>
      <c r="J484" s="329"/>
    </row>
    <row r="485" spans="1:10" ht="21.75">
      <c r="A485" s="235"/>
      <c r="B485" s="252" t="s">
        <v>479</v>
      </c>
      <c r="C485" s="157">
        <v>920.65</v>
      </c>
      <c r="D485" s="167" t="s">
        <v>93</v>
      </c>
      <c r="E485" s="157">
        <v>0</v>
      </c>
      <c r="F485" s="157">
        <f aca="true" t="shared" si="44" ref="F485:F494">+C485*E485</f>
        <v>0</v>
      </c>
      <c r="G485" s="157">
        <v>25</v>
      </c>
      <c r="H485" s="157">
        <f aca="true" t="shared" si="45" ref="H485:H494">+G485*C485</f>
        <v>23016.25</v>
      </c>
      <c r="I485" s="157">
        <f>+F485+H485</f>
        <v>23016.25</v>
      </c>
      <c r="J485" s="329"/>
    </row>
    <row r="486" spans="1:10" ht="21.75">
      <c r="A486" s="235"/>
      <c r="B486" s="358" t="s">
        <v>250</v>
      </c>
      <c r="C486" s="157"/>
      <c r="D486" s="167"/>
      <c r="E486" s="157"/>
      <c r="F486" s="157"/>
      <c r="G486" s="157"/>
      <c r="H486" s="157"/>
      <c r="I486" s="157"/>
      <c r="J486" s="329"/>
    </row>
    <row r="487" spans="1:10" ht="43.5">
      <c r="A487" s="235"/>
      <c r="B487" s="386" t="s">
        <v>508</v>
      </c>
      <c r="C487" s="156">
        <v>894.65</v>
      </c>
      <c r="D487" s="162" t="s">
        <v>93</v>
      </c>
      <c r="E487" s="156">
        <v>280</v>
      </c>
      <c r="F487" s="156">
        <f t="shared" si="44"/>
        <v>250502</v>
      </c>
      <c r="G487" s="156">
        <v>75</v>
      </c>
      <c r="H487" s="156">
        <f t="shared" si="45"/>
        <v>67098.75</v>
      </c>
      <c r="I487" s="156">
        <f aca="true" t="shared" si="46" ref="I487:I496">+F487+H487</f>
        <v>317600.75</v>
      </c>
      <c r="J487" s="329"/>
    </row>
    <row r="488" spans="1:10" s="292" customFormat="1" ht="21.75">
      <c r="A488" s="235"/>
      <c r="B488" s="365" t="s">
        <v>511</v>
      </c>
      <c r="C488" s="156">
        <v>894.65</v>
      </c>
      <c r="D488" s="162" t="s">
        <v>93</v>
      </c>
      <c r="E488" s="156">
        <v>45</v>
      </c>
      <c r="F488" s="156">
        <f>+C488*E488</f>
        <v>40259.25</v>
      </c>
      <c r="G488" s="156">
        <v>30</v>
      </c>
      <c r="H488" s="156">
        <f>+G488*C488</f>
        <v>26839.5</v>
      </c>
      <c r="I488" s="156">
        <f t="shared" si="46"/>
        <v>67098.75</v>
      </c>
      <c r="J488" s="329"/>
    </row>
    <row r="489" spans="1:10" s="297" customFormat="1" ht="65.25">
      <c r="A489" s="349"/>
      <c r="B489" s="258" t="s">
        <v>635</v>
      </c>
      <c r="C489" s="232">
        <v>110.5</v>
      </c>
      <c r="D489" s="261" t="s">
        <v>93</v>
      </c>
      <c r="E489" s="232">
        <v>1350</v>
      </c>
      <c r="F489" s="232">
        <f>+C489*E489</f>
        <v>149175</v>
      </c>
      <c r="G489" s="232">
        <v>250</v>
      </c>
      <c r="H489" s="232">
        <f>+G489*C489</f>
        <v>27625</v>
      </c>
      <c r="I489" s="232">
        <f t="shared" si="46"/>
        <v>176800</v>
      </c>
      <c r="J489" s="329"/>
    </row>
    <row r="490" spans="1:10" s="297" customFormat="1" ht="43.5">
      <c r="A490" s="353"/>
      <c r="B490" s="594" t="s">
        <v>631</v>
      </c>
      <c r="C490" s="234">
        <v>52.7</v>
      </c>
      <c r="D490" s="256" t="s">
        <v>93</v>
      </c>
      <c r="E490" s="234">
        <v>1050</v>
      </c>
      <c r="F490" s="234">
        <f t="shared" si="44"/>
        <v>55335</v>
      </c>
      <c r="G490" s="234">
        <v>250</v>
      </c>
      <c r="H490" s="234">
        <f t="shared" si="45"/>
        <v>13175</v>
      </c>
      <c r="I490" s="234">
        <f t="shared" si="46"/>
        <v>68510</v>
      </c>
      <c r="J490" s="329"/>
    </row>
    <row r="491" spans="1:10" ht="21.75">
      <c r="A491" s="235"/>
      <c r="B491" s="386" t="s">
        <v>627</v>
      </c>
      <c r="C491" s="156">
        <v>9.55</v>
      </c>
      <c r="D491" s="162" t="s">
        <v>181</v>
      </c>
      <c r="E491" s="156">
        <v>2000</v>
      </c>
      <c r="F491" s="156">
        <f>+C491*E491</f>
        <v>19100</v>
      </c>
      <c r="G491" s="156">
        <v>250</v>
      </c>
      <c r="H491" s="156">
        <f>+G491*C491</f>
        <v>2387.5</v>
      </c>
      <c r="I491" s="156">
        <f t="shared" si="46"/>
        <v>21487.5</v>
      </c>
      <c r="J491" s="329"/>
    </row>
    <row r="492" spans="1:10" ht="21.75">
      <c r="A492" s="167"/>
      <c r="B492" s="252" t="s">
        <v>574</v>
      </c>
      <c r="C492" s="157">
        <v>68.75</v>
      </c>
      <c r="D492" s="167" t="s">
        <v>93</v>
      </c>
      <c r="E492" s="157">
        <v>1250</v>
      </c>
      <c r="F492" s="157">
        <f t="shared" si="44"/>
        <v>85937.5</v>
      </c>
      <c r="G492" s="157">
        <v>250</v>
      </c>
      <c r="H492" s="157">
        <f t="shared" si="45"/>
        <v>17187.5</v>
      </c>
      <c r="I492" s="157">
        <f t="shared" si="46"/>
        <v>103125</v>
      </c>
      <c r="J492" s="329"/>
    </row>
    <row r="493" spans="1:10" ht="21.75">
      <c r="A493" s="167"/>
      <c r="B493" s="361" t="s">
        <v>630</v>
      </c>
      <c r="C493" s="157">
        <v>1</v>
      </c>
      <c r="D493" s="167" t="s">
        <v>76</v>
      </c>
      <c r="E493" s="157">
        <v>39500</v>
      </c>
      <c r="F493" s="157">
        <f t="shared" si="44"/>
        <v>39500</v>
      </c>
      <c r="G493" s="157">
        <v>2500</v>
      </c>
      <c r="H493" s="157">
        <f t="shared" si="45"/>
        <v>2500</v>
      </c>
      <c r="I493" s="157">
        <f t="shared" si="46"/>
        <v>42000</v>
      </c>
      <c r="J493" s="329"/>
    </row>
    <row r="494" spans="1:10" ht="21.75">
      <c r="A494" s="167"/>
      <c r="B494" s="365" t="s">
        <v>563</v>
      </c>
      <c r="C494" s="157">
        <v>709.65</v>
      </c>
      <c r="D494" s="167" t="s">
        <v>93</v>
      </c>
      <c r="E494" s="157">
        <v>80</v>
      </c>
      <c r="F494" s="157">
        <f t="shared" si="44"/>
        <v>56772</v>
      </c>
      <c r="G494" s="157">
        <v>30</v>
      </c>
      <c r="H494" s="157">
        <f t="shared" si="45"/>
        <v>21289.5</v>
      </c>
      <c r="I494" s="157">
        <f t="shared" si="46"/>
        <v>78061.5</v>
      </c>
      <c r="J494" s="329"/>
    </row>
    <row r="495" spans="1:10" s="297" customFormat="1" ht="21.75">
      <c r="A495" s="167"/>
      <c r="B495" s="251" t="s">
        <v>567</v>
      </c>
      <c r="C495" s="157">
        <v>165.25</v>
      </c>
      <c r="D495" s="167" t="s">
        <v>93</v>
      </c>
      <c r="E495" s="157">
        <v>30</v>
      </c>
      <c r="F495" s="157">
        <f>+C495*E495</f>
        <v>4957.5</v>
      </c>
      <c r="G495" s="157">
        <v>25</v>
      </c>
      <c r="H495" s="157">
        <f>+G495*C495</f>
        <v>4131.25</v>
      </c>
      <c r="I495" s="157">
        <f t="shared" si="46"/>
        <v>9088.75</v>
      </c>
      <c r="J495" s="329"/>
    </row>
    <row r="496" spans="1:10" ht="21.75">
      <c r="A496" s="167"/>
      <c r="B496" s="361" t="s">
        <v>405</v>
      </c>
      <c r="C496" s="157">
        <v>101.25</v>
      </c>
      <c r="D496" s="167" t="s">
        <v>93</v>
      </c>
      <c r="E496" s="157">
        <v>450</v>
      </c>
      <c r="F496" s="157">
        <f>+C496*E496</f>
        <v>45562.5</v>
      </c>
      <c r="G496" s="157">
        <v>222</v>
      </c>
      <c r="H496" s="157">
        <f>+G496*C496</f>
        <v>22477.5</v>
      </c>
      <c r="I496" s="157">
        <f t="shared" si="46"/>
        <v>68040</v>
      </c>
      <c r="J496" s="329"/>
    </row>
    <row r="497" spans="1:10" ht="21.75">
      <c r="A497" s="332"/>
      <c r="B497" s="375" t="s">
        <v>582</v>
      </c>
      <c r="C497" s="163">
        <v>1</v>
      </c>
      <c r="D497" s="332" t="s">
        <v>76</v>
      </c>
      <c r="E497" s="163">
        <v>8500</v>
      </c>
      <c r="F497" s="163">
        <f>+C497*E497</f>
        <v>8500</v>
      </c>
      <c r="G497" s="163">
        <v>1000</v>
      </c>
      <c r="H497" s="163">
        <f>+G497*C497</f>
        <v>1000</v>
      </c>
      <c r="I497" s="163">
        <f>+F497+H497</f>
        <v>9500</v>
      </c>
      <c r="J497" s="329"/>
    </row>
    <row r="498" spans="1:9" ht="21.75">
      <c r="A498" s="188"/>
      <c r="B498" s="260"/>
      <c r="C498" s="239"/>
      <c r="D498" s="188"/>
      <c r="E498" s="239"/>
      <c r="F498" s="239"/>
      <c r="G498" s="239"/>
      <c r="H498" s="239"/>
      <c r="I498" s="239"/>
    </row>
    <row r="499" spans="1:9" ht="21.75">
      <c r="A499" s="89"/>
      <c r="B499" s="250" t="s">
        <v>383</v>
      </c>
      <c r="C499" s="90"/>
      <c r="D499" s="90"/>
      <c r="E499" s="90"/>
      <c r="F499" s="155">
        <f>SUM(F485:F497)</f>
        <v>755600.75</v>
      </c>
      <c r="G499" s="90"/>
      <c r="H499" s="155">
        <f>SUM(H485:H497)</f>
        <v>228727.75</v>
      </c>
      <c r="I499" s="155">
        <f>SUM(I485:I497)</f>
        <v>984328.5</v>
      </c>
    </row>
    <row r="500" spans="1:9" ht="21.75">
      <c r="A500" s="89"/>
      <c r="B500" s="250"/>
      <c r="C500" s="90"/>
      <c r="D500" s="90"/>
      <c r="E500" s="90"/>
      <c r="F500" s="155"/>
      <c r="G500" s="90"/>
      <c r="H500" s="155"/>
      <c r="I500" s="155"/>
    </row>
    <row r="501" spans="1:9" ht="21.75">
      <c r="A501" s="192"/>
      <c r="B501" s="192" t="s">
        <v>282</v>
      </c>
      <c r="C501" s="179"/>
      <c r="D501" s="179"/>
      <c r="E501" s="179"/>
      <c r="F501" s="295">
        <f>F33+F58+F79+F85+F126+F175+F220+F239+F287+F332+F369+F377+F398+F440+F465+F470+F476+F482+F499</f>
        <v>5061384.36</v>
      </c>
      <c r="G501" s="179"/>
      <c r="H501" s="295">
        <f>H33+H58+H79+H85+H126+H175+H220+H239+H287+H332+H369+H377+H398+H440+H465+H470+H476+H482+H499</f>
        <v>1286787.83</v>
      </c>
      <c r="I501" s="180">
        <f>I33+I58+I79+I85+I126+I175+I220+I239+I287+I332+I369+I377+I398+I440+I465+I470+I476+I482+I499</f>
        <v>6348172.1899999995</v>
      </c>
    </row>
  </sheetData>
  <sheetProtection/>
  <mergeCells count="11">
    <mergeCell ref="G4:H4"/>
    <mergeCell ref="J4:J5"/>
    <mergeCell ref="A1:I1"/>
    <mergeCell ref="A2:I2"/>
    <mergeCell ref="A3:I3"/>
    <mergeCell ref="A4:A5"/>
    <mergeCell ref="B4:B5"/>
    <mergeCell ref="C4:C5"/>
    <mergeCell ref="D4:D5"/>
    <mergeCell ref="I4:I5"/>
    <mergeCell ref="E4:F4"/>
  </mergeCells>
  <printOptions/>
  <pageMargins left="0.2755905511811024" right="0.11811023622047245" top="0.984251968503937" bottom="0.984251968503937" header="0.3937007874015748" footer="0.5118110236220472"/>
  <pageSetup horizontalDpi="600" verticalDpi="600" orientation="landscape" paperSize="9" scale="97" r:id="rId2"/>
  <headerFooter alignWithMargins="0">
    <oddHeader>&amp;L&amp;"TH Sarabun New,Regular"&amp;12รายละเอียดบัญชีแสดงปริมาณวัสดุ แรงงาน และประมาณราคาค่าก่อสร้าง&amp;R&amp;"TH Sarabun New,Regular"&amp;12ปร.4  &amp;P / &amp;N</oddHeader>
    <oddFooter>&amp;L&amp;"TH Sarabun New,Regular"&amp;12หมายเหตุ บัญชีปริมาณงานฉบับนี้ผู้เสนอราคาจะต้องตรวจสอบรายละเอียดจากแบบรูปรายการโดยละเอียดอีกครั้ง หากปรากฏภายหลังว่าบัญชีปริมาณงานกับแบบรูปรายการขัดแย้งกัน ให้ยึดตามแบบรูปรายการ หรือคำวินิจฉัยของผู้ว่าจ้าง</oddFooter>
  </headerFooter>
  <rowBreaks count="13" manualBreakCount="13">
    <brk id="33" max="8" man="1"/>
    <brk id="58" max="8" man="1"/>
    <brk id="85" max="8" man="1"/>
    <brk id="99" max="8" man="1"/>
    <brk id="198" max="8" man="1"/>
    <brk id="223" max="8" man="1"/>
    <brk id="239" max="8" man="1"/>
    <brk id="310" max="8" man="1"/>
    <brk id="351" max="8" man="1"/>
    <brk id="377" max="8" man="1"/>
    <brk id="405" max="8" man="1"/>
    <brk id="418" max="8" man="1"/>
    <brk id="476" max="8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O82"/>
  <sheetViews>
    <sheetView view="pageBreakPreview" zoomScaleSheetLayoutView="100" zoomScalePageLayoutView="130" workbookViewId="0" topLeftCell="A1">
      <selection activeCell="B65" sqref="B65"/>
    </sheetView>
  </sheetViews>
  <sheetFormatPr defaultColWidth="11.421875" defaultRowHeight="21.75"/>
  <cols>
    <col min="1" max="1" width="8.140625" style="73" customWidth="1"/>
    <col min="2" max="2" width="60.7109375" style="69" customWidth="1"/>
    <col min="3" max="3" width="9.8515625" style="74" customWidth="1"/>
    <col min="4" max="4" width="9.8515625" style="73" customWidth="1"/>
    <col min="5" max="5" width="11.8515625" style="74" customWidth="1"/>
    <col min="6" max="6" width="13.8515625" style="74" customWidth="1"/>
    <col min="7" max="7" width="11.8515625" style="74" customWidth="1"/>
    <col min="8" max="8" width="13.8515625" style="74" customWidth="1"/>
    <col min="9" max="9" width="14.8515625" style="74" customWidth="1"/>
    <col min="10" max="10" width="20.421875" style="69" customWidth="1"/>
    <col min="11" max="16384" width="11.421875" style="69" customWidth="1"/>
  </cols>
  <sheetData>
    <row r="1" spans="1:10" ht="21.75">
      <c r="A1" s="708" t="s">
        <v>18</v>
      </c>
      <c r="B1" s="709"/>
      <c r="C1" s="709"/>
      <c r="D1" s="709"/>
      <c r="E1" s="709"/>
      <c r="F1" s="709"/>
      <c r="G1" s="709"/>
      <c r="H1" s="709"/>
      <c r="I1" s="710"/>
      <c r="J1" s="321"/>
    </row>
    <row r="2" spans="1:10" ht="21.75">
      <c r="A2" s="711" t="str">
        <f>(สรุป!A2)</f>
        <v>ปรับปรุงศูนย์เวชศาสตร์ฟื้นฟูและดูแลผู้สูงวัย</v>
      </c>
      <c r="B2" s="698"/>
      <c r="C2" s="698"/>
      <c r="D2" s="698"/>
      <c r="E2" s="698"/>
      <c r="F2" s="698"/>
      <c r="G2" s="698"/>
      <c r="H2" s="698"/>
      <c r="I2" s="712"/>
      <c r="J2" s="321"/>
    </row>
    <row r="3" spans="1:10" ht="21.75">
      <c r="A3" s="711" t="str">
        <f>(สรุป!A3)</f>
        <v>มหาวิทยาลัยราชภัฏอุตรดิตถ์</v>
      </c>
      <c r="B3" s="698"/>
      <c r="C3" s="698"/>
      <c r="D3" s="698"/>
      <c r="E3" s="698"/>
      <c r="F3" s="698"/>
      <c r="G3" s="698"/>
      <c r="H3" s="698"/>
      <c r="I3" s="712"/>
      <c r="J3" s="321"/>
    </row>
    <row r="4" spans="1:10" ht="21.75">
      <c r="A4" s="699" t="s">
        <v>0</v>
      </c>
      <c r="B4" s="701" t="s">
        <v>1</v>
      </c>
      <c r="C4" s="695" t="s">
        <v>2</v>
      </c>
      <c r="D4" s="699" t="s">
        <v>3</v>
      </c>
      <c r="E4" s="704" t="s">
        <v>4</v>
      </c>
      <c r="F4" s="705"/>
      <c r="G4" s="706" t="s">
        <v>5</v>
      </c>
      <c r="H4" s="705"/>
      <c r="I4" s="695" t="s">
        <v>6</v>
      </c>
      <c r="J4" s="321"/>
    </row>
    <row r="5" spans="1:10" ht="21.75">
      <c r="A5" s="700"/>
      <c r="B5" s="702"/>
      <c r="C5" s="703"/>
      <c r="D5" s="700"/>
      <c r="E5" s="70" t="s">
        <v>7</v>
      </c>
      <c r="F5" s="70" t="s">
        <v>8</v>
      </c>
      <c r="G5" s="70" t="s">
        <v>7</v>
      </c>
      <c r="H5" s="70" t="s">
        <v>8</v>
      </c>
      <c r="I5" s="696"/>
      <c r="J5" s="321"/>
    </row>
    <row r="6" spans="1:10" ht="21.75" customHeight="1">
      <c r="A6" s="322">
        <v>2</v>
      </c>
      <c r="B6" s="323" t="s">
        <v>293</v>
      </c>
      <c r="C6" s="152"/>
      <c r="D6" s="153"/>
      <c r="E6" s="154"/>
      <c r="F6" s="154"/>
      <c r="G6" s="154"/>
      <c r="H6" s="154"/>
      <c r="I6" s="152"/>
      <c r="J6" s="321"/>
    </row>
    <row r="7" spans="1:10" ht="40.5" customHeight="1">
      <c r="A7" s="324">
        <v>2.01</v>
      </c>
      <c r="B7" s="390" t="s">
        <v>284</v>
      </c>
      <c r="C7" s="231"/>
      <c r="D7" s="231"/>
      <c r="E7" s="231"/>
      <c r="F7" s="155"/>
      <c r="G7" s="231"/>
      <c r="H7" s="155"/>
      <c r="I7" s="155"/>
      <c r="J7" s="321"/>
    </row>
    <row r="8" spans="1:10" ht="21.75">
      <c r="A8" s="235"/>
      <c r="B8" s="230" t="s">
        <v>288</v>
      </c>
      <c r="C8" s="231"/>
      <c r="D8" s="231"/>
      <c r="E8" s="231"/>
      <c r="F8" s="155"/>
      <c r="G8" s="231"/>
      <c r="H8" s="155"/>
      <c r="I8" s="155"/>
      <c r="J8" s="321"/>
    </row>
    <row r="9" spans="1:10" ht="21.75">
      <c r="A9" s="167"/>
      <c r="B9" s="287" t="s">
        <v>285</v>
      </c>
      <c r="C9" s="157">
        <v>2.5</v>
      </c>
      <c r="D9" s="167" t="s">
        <v>93</v>
      </c>
      <c r="E9" s="157">
        <v>0</v>
      </c>
      <c r="F9" s="157">
        <f>+C9*E9</f>
        <v>0</v>
      </c>
      <c r="G9" s="157">
        <v>35</v>
      </c>
      <c r="H9" s="157">
        <f>+G9*C9</f>
        <v>87.5</v>
      </c>
      <c r="I9" s="157">
        <f>+F9+H9</f>
        <v>87.5</v>
      </c>
      <c r="J9" s="321"/>
    </row>
    <row r="10" spans="1:10" ht="21.75">
      <c r="A10" s="167"/>
      <c r="B10" s="287" t="s">
        <v>481</v>
      </c>
      <c r="C10" s="157">
        <v>20.54</v>
      </c>
      <c r="D10" s="167" t="s">
        <v>93</v>
      </c>
      <c r="E10" s="157">
        <v>0</v>
      </c>
      <c r="F10" s="157">
        <f>+C10*E10</f>
        <v>0</v>
      </c>
      <c r="G10" s="157">
        <v>30</v>
      </c>
      <c r="H10" s="157">
        <f>+G10*C10</f>
        <v>616.1999999999999</v>
      </c>
      <c r="I10" s="157">
        <f>+F10+H10</f>
        <v>616.1999999999999</v>
      </c>
      <c r="J10" s="321"/>
    </row>
    <row r="11" spans="1:10" ht="21.75">
      <c r="A11" s="235"/>
      <c r="B11" s="230" t="s">
        <v>287</v>
      </c>
      <c r="C11" s="155"/>
      <c r="D11" s="235"/>
      <c r="E11" s="155"/>
      <c r="F11" s="155"/>
      <c r="G11" s="155"/>
      <c r="H11" s="155"/>
      <c r="I11" s="155"/>
      <c r="J11" s="321"/>
    </row>
    <row r="12" spans="1:10" ht="21.75">
      <c r="A12" s="167"/>
      <c r="B12" s="230" t="s">
        <v>258</v>
      </c>
      <c r="C12" s="157"/>
      <c r="D12" s="167"/>
      <c r="E12" s="157"/>
      <c r="F12" s="157"/>
      <c r="G12" s="157"/>
      <c r="H12" s="157"/>
      <c r="I12" s="157"/>
      <c r="J12" s="321"/>
    </row>
    <row r="13" spans="1:10" ht="43.5">
      <c r="A13" s="167"/>
      <c r="B13" s="391" t="s">
        <v>286</v>
      </c>
      <c r="C13" s="156">
        <v>35.2</v>
      </c>
      <c r="D13" s="162" t="s">
        <v>93</v>
      </c>
      <c r="E13" s="156">
        <v>273</v>
      </c>
      <c r="F13" s="156">
        <f>+C13*E13</f>
        <v>9609.6</v>
      </c>
      <c r="G13" s="156">
        <v>56</v>
      </c>
      <c r="H13" s="156">
        <f>+G13*C13</f>
        <v>1971.2000000000003</v>
      </c>
      <c r="I13" s="156">
        <f>+F13+H13</f>
        <v>11580.800000000001</v>
      </c>
      <c r="J13" s="321"/>
    </row>
    <row r="14" spans="1:10" ht="43.5">
      <c r="A14" s="167"/>
      <c r="B14" s="391" t="s">
        <v>619</v>
      </c>
      <c r="C14" s="156">
        <v>9</v>
      </c>
      <c r="D14" s="162" t="s">
        <v>93</v>
      </c>
      <c r="E14" s="156">
        <v>595</v>
      </c>
      <c r="F14" s="156">
        <f>+C14*E14</f>
        <v>5355</v>
      </c>
      <c r="G14" s="156">
        <v>130</v>
      </c>
      <c r="H14" s="156">
        <f>+G14*C14</f>
        <v>1170</v>
      </c>
      <c r="I14" s="156">
        <f>+F14+H14</f>
        <v>6525</v>
      </c>
      <c r="J14" s="321"/>
    </row>
    <row r="15" spans="1:10" ht="21.75">
      <c r="A15" s="167"/>
      <c r="B15" s="287" t="s">
        <v>268</v>
      </c>
      <c r="C15" s="157">
        <v>68.4</v>
      </c>
      <c r="D15" s="167" t="s">
        <v>93</v>
      </c>
      <c r="E15" s="157">
        <v>75</v>
      </c>
      <c r="F15" s="157">
        <f>+C15*E15</f>
        <v>5130</v>
      </c>
      <c r="G15" s="157">
        <v>87</v>
      </c>
      <c r="H15" s="157">
        <f>+G15*C15</f>
        <v>5950.8</v>
      </c>
      <c r="I15" s="157">
        <f>+F15+H15</f>
        <v>11080.8</v>
      </c>
      <c r="J15" s="321"/>
    </row>
    <row r="16" spans="1:10" ht="21.75">
      <c r="A16" s="167"/>
      <c r="B16" s="287" t="s">
        <v>484</v>
      </c>
      <c r="C16" s="157">
        <v>1</v>
      </c>
      <c r="D16" s="167" t="s">
        <v>76</v>
      </c>
      <c r="E16" s="157">
        <v>0</v>
      </c>
      <c r="F16" s="157">
        <f>+C16*E16</f>
        <v>0</v>
      </c>
      <c r="G16" s="157">
        <v>450</v>
      </c>
      <c r="H16" s="157">
        <f>+G16*C16</f>
        <v>450</v>
      </c>
      <c r="I16" s="157">
        <f>+F16+H16</f>
        <v>450</v>
      </c>
      <c r="J16" s="321"/>
    </row>
    <row r="17" spans="1:10" ht="21.75">
      <c r="A17" s="167"/>
      <c r="B17" s="230" t="s">
        <v>265</v>
      </c>
      <c r="C17" s="157"/>
      <c r="D17" s="167"/>
      <c r="E17" s="157"/>
      <c r="F17" s="157"/>
      <c r="G17" s="157"/>
      <c r="H17" s="157"/>
      <c r="I17" s="157"/>
      <c r="J17" s="321"/>
    </row>
    <row r="18" spans="1:10" ht="21.75">
      <c r="A18" s="167"/>
      <c r="B18" s="287" t="s">
        <v>262</v>
      </c>
      <c r="C18" s="157">
        <v>1</v>
      </c>
      <c r="D18" s="167" t="s">
        <v>75</v>
      </c>
      <c r="E18" s="157">
        <v>9500</v>
      </c>
      <c r="F18" s="157">
        <f>+C18*E18</f>
        <v>9500</v>
      </c>
      <c r="G18" s="157">
        <v>1450</v>
      </c>
      <c r="H18" s="157">
        <f>+G18*C18</f>
        <v>1450</v>
      </c>
      <c r="I18" s="157">
        <f>+F18+H18</f>
        <v>10950</v>
      </c>
      <c r="J18" s="315"/>
    </row>
    <row r="19" spans="1:10" ht="21.75">
      <c r="A19" s="332"/>
      <c r="B19" s="285" t="s">
        <v>482</v>
      </c>
      <c r="C19" s="163">
        <v>1</v>
      </c>
      <c r="D19" s="332" t="s">
        <v>75</v>
      </c>
      <c r="E19" s="163">
        <v>6000</v>
      </c>
      <c r="F19" s="163">
        <f>+C19*E19</f>
        <v>6000</v>
      </c>
      <c r="G19" s="163">
        <v>650</v>
      </c>
      <c r="H19" s="163">
        <f>+G19*C19</f>
        <v>650</v>
      </c>
      <c r="I19" s="163">
        <f>+F19+H19</f>
        <v>6650</v>
      </c>
      <c r="J19" s="321"/>
    </row>
    <row r="20" spans="1:10" ht="21.75">
      <c r="A20" s="363"/>
      <c r="B20" s="286" t="s">
        <v>483</v>
      </c>
      <c r="C20" s="239">
        <v>1</v>
      </c>
      <c r="D20" s="363" t="s">
        <v>75</v>
      </c>
      <c r="E20" s="239">
        <v>450</v>
      </c>
      <c r="F20" s="239">
        <f>+C20*E20</f>
        <v>450</v>
      </c>
      <c r="G20" s="239">
        <v>300</v>
      </c>
      <c r="H20" s="239">
        <f>+G20*C20</f>
        <v>300</v>
      </c>
      <c r="I20" s="239">
        <f>+F20+H20</f>
        <v>750</v>
      </c>
      <c r="J20" s="321"/>
    </row>
    <row r="21" spans="1:10" ht="21.75">
      <c r="A21" s="167"/>
      <c r="B21" s="287" t="s">
        <v>518</v>
      </c>
      <c r="C21" s="157">
        <v>1</v>
      </c>
      <c r="D21" s="167" t="s">
        <v>75</v>
      </c>
      <c r="E21" s="157">
        <v>250</v>
      </c>
      <c r="F21" s="157">
        <f>+C21*E21</f>
        <v>250</v>
      </c>
      <c r="G21" s="157">
        <v>150</v>
      </c>
      <c r="H21" s="157">
        <f>+G21*C21</f>
        <v>150</v>
      </c>
      <c r="I21" s="157">
        <f>+F21+H21</f>
        <v>400</v>
      </c>
      <c r="J21" s="321"/>
    </row>
    <row r="22" spans="1:10" ht="21.75">
      <c r="A22" s="167"/>
      <c r="B22" s="230" t="s">
        <v>266</v>
      </c>
      <c r="C22" s="157"/>
      <c r="D22" s="167"/>
      <c r="E22" s="157"/>
      <c r="F22" s="157"/>
      <c r="G22" s="157"/>
      <c r="H22" s="157"/>
      <c r="I22" s="157"/>
      <c r="J22" s="321"/>
    </row>
    <row r="23" spans="1:10" ht="21.75" customHeight="1">
      <c r="A23" s="167"/>
      <c r="B23" s="328" t="s">
        <v>424</v>
      </c>
      <c r="C23" s="156">
        <v>131.2</v>
      </c>
      <c r="D23" s="162" t="s">
        <v>93</v>
      </c>
      <c r="E23" s="156">
        <v>70</v>
      </c>
      <c r="F23" s="156">
        <f>+C23*E23</f>
        <v>9184</v>
      </c>
      <c r="G23" s="156">
        <v>30</v>
      </c>
      <c r="H23" s="156">
        <f>+G23*C23</f>
        <v>3935.9999999999995</v>
      </c>
      <c r="I23" s="156">
        <f>+F23+H23</f>
        <v>13120</v>
      </c>
      <c r="J23" s="321"/>
    </row>
    <row r="24" spans="1:10" ht="46.5" customHeight="1">
      <c r="A24" s="235"/>
      <c r="B24" s="288" t="s">
        <v>254</v>
      </c>
      <c r="C24" s="372"/>
      <c r="D24" s="372"/>
      <c r="E24" s="372"/>
      <c r="F24" s="228">
        <f>SUM(F9:F23)</f>
        <v>45478.6</v>
      </c>
      <c r="G24" s="372"/>
      <c r="H24" s="228">
        <f>SUM(H9:H23)</f>
        <v>16731.7</v>
      </c>
      <c r="I24" s="228">
        <f>SUM(I9:I23)</f>
        <v>62210.3</v>
      </c>
      <c r="J24" s="321"/>
    </row>
    <row r="25" spans="1:10" ht="45.75" customHeight="1">
      <c r="A25" s="324">
        <v>2.02</v>
      </c>
      <c r="B25" s="390" t="s">
        <v>489</v>
      </c>
      <c r="C25" s="231"/>
      <c r="D25" s="231"/>
      <c r="E25" s="231"/>
      <c r="F25" s="155"/>
      <c r="G25" s="231"/>
      <c r="H25" s="155"/>
      <c r="I25" s="155"/>
      <c r="J25" s="321"/>
    </row>
    <row r="26" spans="1:10" ht="21.75">
      <c r="A26" s="235"/>
      <c r="B26" s="230" t="s">
        <v>92</v>
      </c>
      <c r="C26" s="231"/>
      <c r="D26" s="231"/>
      <c r="E26" s="231"/>
      <c r="F26" s="155"/>
      <c r="G26" s="231"/>
      <c r="H26" s="155"/>
      <c r="I26" s="155"/>
      <c r="J26" s="321"/>
    </row>
    <row r="27" spans="1:10" ht="21.75">
      <c r="A27" s="167"/>
      <c r="B27" s="287" t="s">
        <v>485</v>
      </c>
      <c r="C27" s="157">
        <v>35.4</v>
      </c>
      <c r="D27" s="167" t="s">
        <v>93</v>
      </c>
      <c r="E27" s="157">
        <v>0</v>
      </c>
      <c r="F27" s="157">
        <f>+C27*E27</f>
        <v>0</v>
      </c>
      <c r="G27" s="157">
        <v>35</v>
      </c>
      <c r="H27" s="157">
        <f>+G27*C27</f>
        <v>1239</v>
      </c>
      <c r="I27" s="157">
        <f>+F27+H27</f>
        <v>1239</v>
      </c>
      <c r="J27" s="321"/>
    </row>
    <row r="28" spans="1:10" ht="21.75">
      <c r="A28" s="167"/>
      <c r="B28" s="287" t="s">
        <v>277</v>
      </c>
      <c r="C28" s="157">
        <v>36.4</v>
      </c>
      <c r="D28" s="167" t="s">
        <v>93</v>
      </c>
      <c r="E28" s="157">
        <v>0</v>
      </c>
      <c r="F28" s="157">
        <f>+C28*E28</f>
        <v>0</v>
      </c>
      <c r="G28" s="157">
        <v>36</v>
      </c>
      <c r="H28" s="157">
        <f>+G28*C28</f>
        <v>1310.3999999999999</v>
      </c>
      <c r="I28" s="157">
        <f>+F28+H28</f>
        <v>1310.3999999999999</v>
      </c>
      <c r="J28" s="315"/>
    </row>
    <row r="29" spans="1:10" ht="21.75">
      <c r="A29" s="235"/>
      <c r="B29" s="230" t="s">
        <v>250</v>
      </c>
      <c r="C29" s="157">
        <v>157.65</v>
      </c>
      <c r="D29" s="167" t="s">
        <v>93</v>
      </c>
      <c r="E29" s="157">
        <v>0</v>
      </c>
      <c r="F29" s="157">
        <f>+C29*E29</f>
        <v>0</v>
      </c>
      <c r="G29" s="157">
        <v>25</v>
      </c>
      <c r="H29" s="157">
        <f>+G29*C29</f>
        <v>3941.25</v>
      </c>
      <c r="I29" s="157">
        <f>+F29+H29</f>
        <v>3941.25</v>
      </c>
      <c r="J29" s="321"/>
    </row>
    <row r="30" spans="1:10" ht="21.75">
      <c r="A30" s="167"/>
      <c r="B30" s="230" t="s">
        <v>258</v>
      </c>
      <c r="C30" s="157"/>
      <c r="D30" s="167"/>
      <c r="E30" s="157"/>
      <c r="F30" s="157"/>
      <c r="G30" s="157"/>
      <c r="H30" s="157"/>
      <c r="I30" s="157"/>
      <c r="J30" s="321"/>
    </row>
    <row r="31" spans="1:10" ht="42" customHeight="1">
      <c r="A31" s="167"/>
      <c r="B31" s="391" t="s">
        <v>289</v>
      </c>
      <c r="C31" s="156">
        <v>35.4</v>
      </c>
      <c r="D31" s="162" t="s">
        <v>93</v>
      </c>
      <c r="E31" s="156">
        <v>273</v>
      </c>
      <c r="F31" s="156">
        <f>+C31*E31</f>
        <v>9664.199999999999</v>
      </c>
      <c r="G31" s="156">
        <v>56</v>
      </c>
      <c r="H31" s="156">
        <f>+G31*C31</f>
        <v>1982.3999999999999</v>
      </c>
      <c r="I31" s="156">
        <f>+F31+H31</f>
        <v>11646.599999999999</v>
      </c>
      <c r="J31" s="321"/>
    </row>
    <row r="32" spans="1:10" ht="21.75">
      <c r="A32" s="332"/>
      <c r="B32" s="285" t="s">
        <v>268</v>
      </c>
      <c r="C32" s="163">
        <v>70.8</v>
      </c>
      <c r="D32" s="332" t="s">
        <v>93</v>
      </c>
      <c r="E32" s="163">
        <v>75</v>
      </c>
      <c r="F32" s="163">
        <f>+C32*E32</f>
        <v>5310</v>
      </c>
      <c r="G32" s="163">
        <v>87</v>
      </c>
      <c r="H32" s="163">
        <f>+G32*C32</f>
        <v>6159.599999999999</v>
      </c>
      <c r="I32" s="163">
        <f>+F32+H32</f>
        <v>11469.599999999999</v>
      </c>
      <c r="J32" s="321"/>
    </row>
    <row r="33" spans="1:10" ht="21.75">
      <c r="A33" s="363"/>
      <c r="B33" s="323" t="s">
        <v>260</v>
      </c>
      <c r="C33" s="239"/>
      <c r="D33" s="363"/>
      <c r="E33" s="239"/>
      <c r="F33" s="239"/>
      <c r="G33" s="239"/>
      <c r="H33" s="239"/>
      <c r="I33" s="239"/>
      <c r="J33" s="321"/>
    </row>
    <row r="34" spans="1:10" ht="43.5">
      <c r="A34" s="167"/>
      <c r="B34" s="394" t="s">
        <v>461</v>
      </c>
      <c r="C34" s="156">
        <v>157.65</v>
      </c>
      <c r="D34" s="162" t="s">
        <v>93</v>
      </c>
      <c r="E34" s="156">
        <v>280</v>
      </c>
      <c r="F34" s="156">
        <f>+C34*E34</f>
        <v>44142</v>
      </c>
      <c r="G34" s="156">
        <v>75</v>
      </c>
      <c r="H34" s="156">
        <f>+G34*C34</f>
        <v>11823.75</v>
      </c>
      <c r="I34" s="156">
        <f>+F34+H34</f>
        <v>55965.75</v>
      </c>
      <c r="J34" s="321"/>
    </row>
    <row r="35" spans="1:10" ht="21.75">
      <c r="A35" s="167"/>
      <c r="B35" s="230" t="s">
        <v>266</v>
      </c>
      <c r="C35" s="157"/>
      <c r="D35" s="167"/>
      <c r="E35" s="157"/>
      <c r="F35" s="157"/>
      <c r="G35" s="157"/>
      <c r="H35" s="157"/>
      <c r="I35" s="157"/>
      <c r="J35" s="321"/>
    </row>
    <row r="36" spans="1:10" ht="21.75" customHeight="1">
      <c r="A36" s="167"/>
      <c r="B36" s="328" t="s">
        <v>486</v>
      </c>
      <c r="C36" s="156">
        <v>178.1</v>
      </c>
      <c r="D36" s="162" t="s">
        <v>93</v>
      </c>
      <c r="E36" s="156">
        <v>70</v>
      </c>
      <c r="F36" s="156">
        <f>+C36*E36</f>
        <v>12467</v>
      </c>
      <c r="G36" s="156">
        <v>30</v>
      </c>
      <c r="H36" s="156">
        <f>+G36*C36</f>
        <v>5343</v>
      </c>
      <c r="I36" s="156">
        <f>+F36+H36</f>
        <v>17810</v>
      </c>
      <c r="J36" s="321"/>
    </row>
    <row r="37" spans="1:10" ht="21.75" customHeight="1">
      <c r="A37" s="167"/>
      <c r="B37" s="328" t="s">
        <v>511</v>
      </c>
      <c r="C37" s="157">
        <v>157.65</v>
      </c>
      <c r="D37" s="167" t="s">
        <v>93</v>
      </c>
      <c r="E37" s="157">
        <v>45</v>
      </c>
      <c r="F37" s="157">
        <f>+C37*E37</f>
        <v>7094.25</v>
      </c>
      <c r="G37" s="157">
        <v>30</v>
      </c>
      <c r="H37" s="157">
        <f>+G37*C37</f>
        <v>4729.5</v>
      </c>
      <c r="I37" s="157">
        <f>+F37+H37</f>
        <v>11823.75</v>
      </c>
      <c r="J37" s="321"/>
    </row>
    <row r="38" spans="1:10" ht="21.75">
      <c r="A38" s="235"/>
      <c r="B38" s="395" t="s">
        <v>253</v>
      </c>
      <c r="C38" s="396"/>
      <c r="D38" s="396"/>
      <c r="E38" s="396"/>
      <c r="F38" s="237">
        <f>SUM(F27:F37)</f>
        <v>78677.45</v>
      </c>
      <c r="G38" s="396"/>
      <c r="H38" s="237">
        <f>SUM(H27:H37)</f>
        <v>36528.899999999994</v>
      </c>
      <c r="I38" s="237">
        <f>SUM(I27:I37)</f>
        <v>115206.35</v>
      </c>
      <c r="J38" s="321"/>
    </row>
    <row r="39" spans="1:10" ht="41.25" customHeight="1">
      <c r="A39" s="324">
        <v>2.03</v>
      </c>
      <c r="B39" s="325" t="s">
        <v>488</v>
      </c>
      <c r="C39" s="231"/>
      <c r="D39" s="231"/>
      <c r="E39" s="231"/>
      <c r="F39" s="155"/>
      <c r="G39" s="231"/>
      <c r="H39" s="155"/>
      <c r="I39" s="155"/>
      <c r="J39" s="321"/>
    </row>
    <row r="40" spans="1:10" ht="21.75">
      <c r="A40" s="235"/>
      <c r="B40" s="230" t="s">
        <v>92</v>
      </c>
      <c r="C40" s="231"/>
      <c r="D40" s="231"/>
      <c r="E40" s="231"/>
      <c r="F40" s="155"/>
      <c r="G40" s="231"/>
      <c r="H40" s="155"/>
      <c r="I40" s="155"/>
      <c r="J40" s="321"/>
    </row>
    <row r="41" spans="1:10" ht="21.75">
      <c r="A41" s="167"/>
      <c r="B41" s="287" t="s">
        <v>527</v>
      </c>
      <c r="C41" s="157">
        <v>2</v>
      </c>
      <c r="D41" s="167" t="s">
        <v>75</v>
      </c>
      <c r="E41" s="157">
        <v>0</v>
      </c>
      <c r="F41" s="157">
        <f>+C41*E41</f>
        <v>0</v>
      </c>
      <c r="G41" s="157">
        <v>400</v>
      </c>
      <c r="H41" s="157">
        <f>+G41*C41</f>
        <v>800</v>
      </c>
      <c r="I41" s="157">
        <f>+F41+H41</f>
        <v>800</v>
      </c>
      <c r="J41" s="321"/>
    </row>
    <row r="42" spans="1:10" ht="21.75">
      <c r="A42" s="167"/>
      <c r="B42" s="287" t="s">
        <v>526</v>
      </c>
      <c r="C42" s="157">
        <v>2</v>
      </c>
      <c r="D42" s="167" t="s">
        <v>75</v>
      </c>
      <c r="E42" s="157">
        <v>0</v>
      </c>
      <c r="F42" s="157">
        <f>+C42*E42</f>
        <v>0</v>
      </c>
      <c r="G42" s="157">
        <v>300</v>
      </c>
      <c r="H42" s="157">
        <f>+G42*C42</f>
        <v>600</v>
      </c>
      <c r="I42" s="157">
        <f>+F42+H42</f>
        <v>600</v>
      </c>
      <c r="J42" s="321"/>
    </row>
    <row r="43" spans="1:10" ht="21.75">
      <c r="A43" s="167"/>
      <c r="B43" s="287" t="s">
        <v>296</v>
      </c>
      <c r="C43" s="157">
        <v>67.35</v>
      </c>
      <c r="D43" s="167" t="s">
        <v>93</v>
      </c>
      <c r="E43" s="157">
        <v>0</v>
      </c>
      <c r="F43" s="157">
        <f>+C43*E43</f>
        <v>0</v>
      </c>
      <c r="G43" s="157">
        <v>25</v>
      </c>
      <c r="H43" s="157">
        <f>+G43*C43</f>
        <v>1683.7499999999998</v>
      </c>
      <c r="I43" s="157">
        <f>+F43+H43</f>
        <v>1683.7499999999998</v>
      </c>
      <c r="J43" s="321"/>
    </row>
    <row r="44" spans="1:10" ht="21.75">
      <c r="A44" s="235"/>
      <c r="B44" s="230" t="s">
        <v>250</v>
      </c>
      <c r="C44" s="155"/>
      <c r="D44" s="235"/>
      <c r="E44" s="155"/>
      <c r="F44" s="155"/>
      <c r="G44" s="155"/>
      <c r="H44" s="155"/>
      <c r="I44" s="155"/>
      <c r="J44" s="321"/>
    </row>
    <row r="45" spans="1:10" ht="21.75">
      <c r="A45" s="167"/>
      <c r="B45" s="230" t="s">
        <v>259</v>
      </c>
      <c r="C45" s="157"/>
      <c r="D45" s="167"/>
      <c r="E45" s="157"/>
      <c r="F45" s="157"/>
      <c r="G45" s="157"/>
      <c r="H45" s="157"/>
      <c r="I45" s="157"/>
      <c r="J45" s="321"/>
    </row>
    <row r="46" spans="1:10" ht="21.75">
      <c r="A46" s="167"/>
      <c r="B46" s="397" t="s">
        <v>317</v>
      </c>
      <c r="C46" s="157">
        <v>14.7</v>
      </c>
      <c r="D46" s="167" t="s">
        <v>93</v>
      </c>
      <c r="E46" s="157">
        <v>0</v>
      </c>
      <c r="F46" s="157">
        <f>+C46*E46</f>
        <v>0</v>
      </c>
      <c r="G46" s="157">
        <v>120</v>
      </c>
      <c r="H46" s="157">
        <f>+G46*C46</f>
        <v>1764</v>
      </c>
      <c r="I46" s="157">
        <f>+F46+H46</f>
        <v>1764</v>
      </c>
      <c r="J46" s="321"/>
    </row>
    <row r="47" spans="1:10" s="297" customFormat="1" ht="21.75">
      <c r="A47" s="332"/>
      <c r="B47" s="398" t="s">
        <v>520</v>
      </c>
      <c r="C47" s="232">
        <v>14.7</v>
      </c>
      <c r="D47" s="261" t="s">
        <v>93</v>
      </c>
      <c r="E47" s="232">
        <v>450</v>
      </c>
      <c r="F47" s="232">
        <f>+C47*E47</f>
        <v>6615</v>
      </c>
      <c r="G47" s="232">
        <v>222</v>
      </c>
      <c r="H47" s="232">
        <f>+G47*C47</f>
        <v>3263.3999999999996</v>
      </c>
      <c r="I47" s="232">
        <f>+F47+H47</f>
        <v>9878.4</v>
      </c>
      <c r="J47" s="321"/>
    </row>
    <row r="48" spans="1:10" ht="21.75">
      <c r="A48" s="363"/>
      <c r="B48" s="323" t="s">
        <v>258</v>
      </c>
      <c r="C48" s="239"/>
      <c r="D48" s="363"/>
      <c r="E48" s="239"/>
      <c r="F48" s="239"/>
      <c r="G48" s="239"/>
      <c r="H48" s="239"/>
      <c r="I48" s="239"/>
      <c r="J48" s="321"/>
    </row>
    <row r="49" spans="1:10" ht="40.5" customHeight="1">
      <c r="A49" s="167"/>
      <c r="B49" s="391" t="s">
        <v>280</v>
      </c>
      <c r="C49" s="156">
        <v>94.1</v>
      </c>
      <c r="D49" s="162" t="s">
        <v>93</v>
      </c>
      <c r="E49" s="156">
        <v>273</v>
      </c>
      <c r="F49" s="156">
        <f>+C49*E49</f>
        <v>25689.3</v>
      </c>
      <c r="G49" s="156">
        <v>56</v>
      </c>
      <c r="H49" s="156">
        <f>+G49*C49</f>
        <v>5269.599999999999</v>
      </c>
      <c r="I49" s="156">
        <f>+F49+H49</f>
        <v>30958.899999999998</v>
      </c>
      <c r="J49" s="321"/>
    </row>
    <row r="50" spans="1:10" s="297" customFormat="1" ht="21.75">
      <c r="A50" s="167"/>
      <c r="B50" s="391" t="s">
        <v>524</v>
      </c>
      <c r="C50" s="156">
        <v>51.9</v>
      </c>
      <c r="D50" s="162" t="s">
        <v>93</v>
      </c>
      <c r="E50" s="156">
        <v>470</v>
      </c>
      <c r="F50" s="156">
        <f>+C50*E50</f>
        <v>24393</v>
      </c>
      <c r="G50" s="156">
        <v>190</v>
      </c>
      <c r="H50" s="156">
        <f>+G50*C50</f>
        <v>9861</v>
      </c>
      <c r="I50" s="156">
        <f>+F50+H50</f>
        <v>34254</v>
      </c>
      <c r="J50" s="321"/>
    </row>
    <row r="51" spans="1:10" ht="43.5">
      <c r="A51" s="167"/>
      <c r="B51" s="397" t="s">
        <v>622</v>
      </c>
      <c r="C51" s="156">
        <v>25</v>
      </c>
      <c r="D51" s="162" t="s">
        <v>93</v>
      </c>
      <c r="E51" s="156">
        <v>1250</v>
      </c>
      <c r="F51" s="156">
        <f>+C51*E51</f>
        <v>31250</v>
      </c>
      <c r="G51" s="156">
        <v>250</v>
      </c>
      <c r="H51" s="156">
        <f>+G51*C51</f>
        <v>6250</v>
      </c>
      <c r="I51" s="156">
        <f>+F51+H51</f>
        <v>37500</v>
      </c>
      <c r="J51" s="321"/>
    </row>
    <row r="52" spans="1:10" ht="21.75">
      <c r="A52" s="167"/>
      <c r="B52" s="287" t="s">
        <v>268</v>
      </c>
      <c r="C52" s="157">
        <v>188.1</v>
      </c>
      <c r="D52" s="167" t="s">
        <v>93</v>
      </c>
      <c r="E52" s="157">
        <v>75</v>
      </c>
      <c r="F52" s="157">
        <f>+C52*E52</f>
        <v>14107.5</v>
      </c>
      <c r="G52" s="157">
        <v>87</v>
      </c>
      <c r="H52" s="157">
        <f>+G52*C52</f>
        <v>16364.699999999999</v>
      </c>
      <c r="I52" s="157">
        <f>+F52+H52</f>
        <v>30472.199999999997</v>
      </c>
      <c r="J52" s="321"/>
    </row>
    <row r="53" spans="1:10" ht="21.75">
      <c r="A53" s="167"/>
      <c r="B53" s="287" t="s">
        <v>480</v>
      </c>
      <c r="C53" s="157">
        <v>37.9</v>
      </c>
      <c r="D53" s="167" t="s">
        <v>181</v>
      </c>
      <c r="E53" s="157">
        <v>70</v>
      </c>
      <c r="F53" s="157">
        <f>+C53*E53</f>
        <v>2653</v>
      </c>
      <c r="G53" s="157">
        <v>40</v>
      </c>
      <c r="H53" s="157">
        <f>+G53*C53</f>
        <v>1516</v>
      </c>
      <c r="I53" s="157">
        <f>+F53+H53</f>
        <v>4169</v>
      </c>
      <c r="J53" s="321"/>
    </row>
    <row r="54" spans="1:10" ht="21.75">
      <c r="A54" s="167"/>
      <c r="B54" s="230" t="s">
        <v>260</v>
      </c>
      <c r="C54" s="157"/>
      <c r="D54" s="167"/>
      <c r="E54" s="157"/>
      <c r="F54" s="157"/>
      <c r="G54" s="157"/>
      <c r="H54" s="157"/>
      <c r="I54" s="157"/>
      <c r="J54" s="321"/>
    </row>
    <row r="55" spans="1:10" ht="43.5">
      <c r="A55" s="167"/>
      <c r="B55" s="394" t="s">
        <v>491</v>
      </c>
      <c r="C55" s="156">
        <v>48.8</v>
      </c>
      <c r="D55" s="162" t="s">
        <v>93</v>
      </c>
      <c r="E55" s="156">
        <v>280</v>
      </c>
      <c r="F55" s="156">
        <f>+C55*E55</f>
        <v>13664</v>
      </c>
      <c r="G55" s="156">
        <v>75</v>
      </c>
      <c r="H55" s="156">
        <f>+G55*C55</f>
        <v>3660</v>
      </c>
      <c r="I55" s="156">
        <f>+F55+H55</f>
        <v>17324</v>
      </c>
      <c r="J55" s="321"/>
    </row>
    <row r="56" spans="1:10" ht="39.75" customHeight="1">
      <c r="A56" s="167"/>
      <c r="B56" s="394" t="s">
        <v>492</v>
      </c>
      <c r="C56" s="156">
        <v>13.35</v>
      </c>
      <c r="D56" s="162" t="s">
        <v>93</v>
      </c>
      <c r="E56" s="156">
        <v>320</v>
      </c>
      <c r="F56" s="156">
        <f>+C56*E56</f>
        <v>4272</v>
      </c>
      <c r="G56" s="156">
        <v>75</v>
      </c>
      <c r="H56" s="156">
        <f>+G56*C56</f>
        <v>1001.25</v>
      </c>
      <c r="I56" s="156">
        <f>+F56+H56</f>
        <v>5273.25</v>
      </c>
      <c r="J56" s="321"/>
    </row>
    <row r="57" spans="1:10" ht="21.75">
      <c r="A57" s="167"/>
      <c r="B57" s="230" t="s">
        <v>261</v>
      </c>
      <c r="C57" s="157"/>
      <c r="D57" s="167"/>
      <c r="E57" s="157"/>
      <c r="F57" s="157"/>
      <c r="G57" s="157"/>
      <c r="H57" s="157"/>
      <c r="I57" s="157"/>
      <c r="J57" s="321"/>
    </row>
    <row r="58" spans="1:10" ht="21.75">
      <c r="A58" s="167"/>
      <c r="B58" s="287" t="s">
        <v>267</v>
      </c>
      <c r="C58" s="157">
        <v>2</v>
      </c>
      <c r="D58" s="167" t="s">
        <v>75</v>
      </c>
      <c r="E58" s="157">
        <v>7900</v>
      </c>
      <c r="F58" s="157">
        <f>+C58*E58</f>
        <v>15800</v>
      </c>
      <c r="G58" s="157">
        <v>1200</v>
      </c>
      <c r="H58" s="157">
        <f>+G58*C58</f>
        <v>2400</v>
      </c>
      <c r="I58" s="157">
        <f>+F58+H58</f>
        <v>18200</v>
      </c>
      <c r="J58" s="321"/>
    </row>
    <row r="59" spans="1:15" ht="21.75">
      <c r="A59" s="167"/>
      <c r="B59" s="287" t="s">
        <v>263</v>
      </c>
      <c r="C59" s="157">
        <v>2</v>
      </c>
      <c r="D59" s="167" t="s">
        <v>75</v>
      </c>
      <c r="E59" s="157">
        <v>7500</v>
      </c>
      <c r="F59" s="157">
        <f>+C59*E59</f>
        <v>15000</v>
      </c>
      <c r="G59" s="157">
        <v>1100</v>
      </c>
      <c r="H59" s="157">
        <f>+G59*C59</f>
        <v>2200</v>
      </c>
      <c r="I59" s="157">
        <f>+F59+H59</f>
        <v>17200</v>
      </c>
      <c r="J59" s="321"/>
      <c r="K59" s="91"/>
      <c r="L59" s="91"/>
      <c r="M59" s="91"/>
      <c r="N59" s="91"/>
      <c r="O59" s="91"/>
    </row>
    <row r="60" spans="1:15" ht="21.75">
      <c r="A60" s="332"/>
      <c r="B60" s="285" t="s">
        <v>274</v>
      </c>
      <c r="C60" s="163">
        <v>2</v>
      </c>
      <c r="D60" s="332" t="s">
        <v>75</v>
      </c>
      <c r="E60" s="163">
        <v>2000</v>
      </c>
      <c r="F60" s="163">
        <f>+C60*E60</f>
        <v>4000</v>
      </c>
      <c r="G60" s="163">
        <v>200</v>
      </c>
      <c r="H60" s="163">
        <f>+G60*C60</f>
        <v>400</v>
      </c>
      <c r="I60" s="163">
        <f>+F60+H60</f>
        <v>4400</v>
      </c>
      <c r="J60" s="321"/>
      <c r="K60" s="169"/>
      <c r="L60" s="169"/>
      <c r="M60" s="169"/>
      <c r="N60" s="169"/>
      <c r="O60" s="169"/>
    </row>
    <row r="61" spans="1:15" ht="21.75">
      <c r="A61" s="363"/>
      <c r="B61" s="286" t="s">
        <v>487</v>
      </c>
      <c r="C61" s="239">
        <v>2</v>
      </c>
      <c r="D61" s="363" t="s">
        <v>75</v>
      </c>
      <c r="E61" s="239">
        <v>1540</v>
      </c>
      <c r="F61" s="239">
        <f>+C61*E61</f>
        <v>3080</v>
      </c>
      <c r="G61" s="239">
        <v>400</v>
      </c>
      <c r="H61" s="239">
        <f>+G61*C61</f>
        <v>800</v>
      </c>
      <c r="I61" s="239">
        <f>+F61+H61</f>
        <v>3880</v>
      </c>
      <c r="J61" s="321"/>
      <c r="K61" s="169"/>
      <c r="L61" s="169"/>
      <c r="M61" s="169"/>
      <c r="N61" s="169"/>
      <c r="O61" s="169"/>
    </row>
    <row r="62" spans="1:15" ht="21.75">
      <c r="A62" s="167"/>
      <c r="B62" s="287" t="s">
        <v>518</v>
      </c>
      <c r="C62" s="157">
        <v>1</v>
      </c>
      <c r="D62" s="373" t="s">
        <v>76</v>
      </c>
      <c r="E62" s="157">
        <v>250</v>
      </c>
      <c r="F62" s="157">
        <f>+C62*E62</f>
        <v>250</v>
      </c>
      <c r="G62" s="157">
        <v>150</v>
      </c>
      <c r="H62" s="157">
        <f>+G62*C62</f>
        <v>150</v>
      </c>
      <c r="I62" s="157">
        <f>+F62+H62</f>
        <v>400</v>
      </c>
      <c r="J62" s="321"/>
      <c r="K62" s="91"/>
      <c r="L62" s="91"/>
      <c r="M62" s="91"/>
      <c r="N62" s="91"/>
      <c r="O62" s="91"/>
    </row>
    <row r="63" spans="1:10" ht="21.75">
      <c r="A63" s="167"/>
      <c r="B63" s="230" t="s">
        <v>266</v>
      </c>
      <c r="C63" s="157"/>
      <c r="D63" s="167"/>
      <c r="E63" s="157"/>
      <c r="F63" s="157"/>
      <c r="G63" s="157"/>
      <c r="H63" s="157"/>
      <c r="I63" s="157"/>
      <c r="J63" s="321"/>
    </row>
    <row r="64" spans="1:10" ht="21.75" customHeight="1">
      <c r="A64" s="167"/>
      <c r="B64" s="328" t="s">
        <v>559</v>
      </c>
      <c r="C64" s="156">
        <v>120.7</v>
      </c>
      <c r="D64" s="162" t="s">
        <v>93</v>
      </c>
      <c r="E64" s="156">
        <v>80</v>
      </c>
      <c r="F64" s="156">
        <f>+C64*E64</f>
        <v>9656</v>
      </c>
      <c r="G64" s="156">
        <v>30</v>
      </c>
      <c r="H64" s="156">
        <f>+G64*C64</f>
        <v>3621</v>
      </c>
      <c r="I64" s="156">
        <f>+F64+H64</f>
        <v>13277</v>
      </c>
      <c r="J64" s="321"/>
    </row>
    <row r="65" spans="1:10" ht="21.75" customHeight="1">
      <c r="A65" s="167"/>
      <c r="B65" s="328" t="s">
        <v>511</v>
      </c>
      <c r="C65" s="157">
        <v>62.15</v>
      </c>
      <c r="D65" s="167" t="s">
        <v>93</v>
      </c>
      <c r="E65" s="157">
        <v>45</v>
      </c>
      <c r="F65" s="157">
        <f>+C65*E65</f>
        <v>2796.75</v>
      </c>
      <c r="G65" s="157">
        <v>30</v>
      </c>
      <c r="H65" s="157">
        <f>+G65*C65</f>
        <v>1864.5</v>
      </c>
      <c r="I65" s="157">
        <f>+F65+H65</f>
        <v>4661.25</v>
      </c>
      <c r="J65" s="321"/>
    </row>
    <row r="66" spans="1:10" ht="21.75">
      <c r="A66" s="167"/>
      <c r="B66" s="230" t="s">
        <v>271</v>
      </c>
      <c r="C66" s="157"/>
      <c r="D66" s="167"/>
      <c r="E66" s="157"/>
      <c r="F66" s="157"/>
      <c r="G66" s="157"/>
      <c r="H66" s="157"/>
      <c r="I66" s="157"/>
      <c r="J66" s="321"/>
    </row>
    <row r="67" spans="1:10" ht="21.75">
      <c r="A67" s="167"/>
      <c r="B67" s="251" t="s">
        <v>312</v>
      </c>
      <c r="C67" s="157">
        <v>2</v>
      </c>
      <c r="D67" s="167" t="s">
        <v>75</v>
      </c>
      <c r="E67" s="157">
        <v>4900</v>
      </c>
      <c r="F67" s="157">
        <f aca="true" t="shared" si="0" ref="F67:F74">+C67*E67</f>
        <v>9800</v>
      </c>
      <c r="G67" s="157">
        <v>450</v>
      </c>
      <c r="H67" s="157">
        <f aca="true" t="shared" si="1" ref="H67:H74">+G67*C67</f>
        <v>900</v>
      </c>
      <c r="I67" s="157">
        <f aca="true" t="shared" si="2" ref="I67:I74">+F67+H67</f>
        <v>10700</v>
      </c>
      <c r="J67" s="321"/>
    </row>
    <row r="68" spans="1:10" ht="42" customHeight="1">
      <c r="A68" s="167"/>
      <c r="B68" s="391" t="s">
        <v>437</v>
      </c>
      <c r="C68" s="156">
        <v>2</v>
      </c>
      <c r="D68" s="162" t="s">
        <v>75</v>
      </c>
      <c r="E68" s="156">
        <v>3800</v>
      </c>
      <c r="F68" s="156">
        <f t="shared" si="0"/>
        <v>7600</v>
      </c>
      <c r="G68" s="156">
        <v>450</v>
      </c>
      <c r="H68" s="156">
        <f t="shared" si="1"/>
        <v>900</v>
      </c>
      <c r="I68" s="156">
        <f t="shared" si="2"/>
        <v>8500</v>
      </c>
      <c r="J68" s="321"/>
    </row>
    <row r="69" spans="1:10" ht="21.75">
      <c r="A69" s="167"/>
      <c r="B69" s="287" t="s">
        <v>436</v>
      </c>
      <c r="C69" s="157">
        <v>2</v>
      </c>
      <c r="D69" s="167" t="s">
        <v>75</v>
      </c>
      <c r="E69" s="157">
        <v>1200</v>
      </c>
      <c r="F69" s="157">
        <f t="shared" si="0"/>
        <v>2400</v>
      </c>
      <c r="G69" s="157">
        <v>0</v>
      </c>
      <c r="H69" s="157">
        <f t="shared" si="1"/>
        <v>0</v>
      </c>
      <c r="I69" s="157">
        <f t="shared" si="2"/>
        <v>2400</v>
      </c>
      <c r="J69" s="321"/>
    </row>
    <row r="70" spans="1:10" ht="21.75">
      <c r="A70" s="167"/>
      <c r="B70" s="287" t="s">
        <v>321</v>
      </c>
      <c r="C70" s="157">
        <v>2</v>
      </c>
      <c r="D70" s="167" t="s">
        <v>75</v>
      </c>
      <c r="E70" s="157">
        <v>650</v>
      </c>
      <c r="F70" s="157">
        <f t="shared" si="0"/>
        <v>1300</v>
      </c>
      <c r="G70" s="157">
        <v>80</v>
      </c>
      <c r="H70" s="157">
        <f t="shared" si="1"/>
        <v>160</v>
      </c>
      <c r="I70" s="157">
        <f t="shared" si="2"/>
        <v>1460</v>
      </c>
      <c r="J70" s="321"/>
    </row>
    <row r="71" spans="1:10" ht="21.75">
      <c r="A71" s="167"/>
      <c r="B71" s="287" t="s">
        <v>605</v>
      </c>
      <c r="C71" s="157">
        <v>2</v>
      </c>
      <c r="D71" s="167" t="s">
        <v>75</v>
      </c>
      <c r="E71" s="157">
        <v>1800</v>
      </c>
      <c r="F71" s="157">
        <f t="shared" si="0"/>
        <v>3600</v>
      </c>
      <c r="G71" s="157">
        <v>70</v>
      </c>
      <c r="H71" s="157">
        <f t="shared" si="1"/>
        <v>140</v>
      </c>
      <c r="I71" s="157">
        <f t="shared" si="2"/>
        <v>3740</v>
      </c>
      <c r="J71" s="399"/>
    </row>
    <row r="72" spans="1:10" ht="21.75">
      <c r="A72" s="167"/>
      <c r="B72" s="287" t="s">
        <v>607</v>
      </c>
      <c r="C72" s="157">
        <v>2</v>
      </c>
      <c r="D72" s="167" t="s">
        <v>75</v>
      </c>
      <c r="E72" s="157">
        <v>650</v>
      </c>
      <c r="F72" s="157">
        <f t="shared" si="0"/>
        <v>1300</v>
      </c>
      <c r="G72" s="157">
        <v>70</v>
      </c>
      <c r="H72" s="157">
        <f t="shared" si="1"/>
        <v>140</v>
      </c>
      <c r="I72" s="157">
        <f t="shared" si="2"/>
        <v>1440</v>
      </c>
      <c r="J72" s="329"/>
    </row>
    <row r="73" spans="1:10" ht="43.5">
      <c r="A73" s="167"/>
      <c r="B73" s="391" t="s">
        <v>617</v>
      </c>
      <c r="C73" s="156">
        <v>2</v>
      </c>
      <c r="D73" s="162" t="s">
        <v>75</v>
      </c>
      <c r="E73" s="156">
        <v>1800</v>
      </c>
      <c r="F73" s="156">
        <f>+C73*E73</f>
        <v>3600</v>
      </c>
      <c r="G73" s="156">
        <v>70</v>
      </c>
      <c r="H73" s="156">
        <f>+G73*C73</f>
        <v>140</v>
      </c>
      <c r="I73" s="156">
        <f>+F73+H73</f>
        <v>3740</v>
      </c>
      <c r="J73" s="330"/>
    </row>
    <row r="74" spans="1:10" ht="21.75">
      <c r="A74" s="167"/>
      <c r="B74" s="287" t="s">
        <v>614</v>
      </c>
      <c r="C74" s="157">
        <v>2</v>
      </c>
      <c r="D74" s="167" t="s">
        <v>75</v>
      </c>
      <c r="E74" s="157">
        <v>450</v>
      </c>
      <c r="F74" s="157">
        <f t="shared" si="0"/>
        <v>900</v>
      </c>
      <c r="G74" s="157">
        <v>75</v>
      </c>
      <c r="H74" s="157">
        <f t="shared" si="1"/>
        <v>150</v>
      </c>
      <c r="I74" s="157">
        <f t="shared" si="2"/>
        <v>1050</v>
      </c>
      <c r="J74" s="330"/>
    </row>
    <row r="75" spans="1:10" ht="21.75">
      <c r="A75" s="332"/>
      <c r="B75" s="285" t="s">
        <v>354</v>
      </c>
      <c r="C75" s="163">
        <v>4</v>
      </c>
      <c r="D75" s="332" t="s">
        <v>75</v>
      </c>
      <c r="E75" s="163">
        <v>2200</v>
      </c>
      <c r="F75" s="163">
        <f>+C75*E75</f>
        <v>8800</v>
      </c>
      <c r="G75" s="163">
        <v>70</v>
      </c>
      <c r="H75" s="163">
        <f>+G75*C75</f>
        <v>280</v>
      </c>
      <c r="I75" s="163">
        <f>+F75+H75</f>
        <v>9080</v>
      </c>
      <c r="J75" s="330"/>
    </row>
    <row r="76" spans="1:10" ht="21.75">
      <c r="A76" s="363"/>
      <c r="B76" s="364" t="s">
        <v>389</v>
      </c>
      <c r="C76" s="239">
        <v>2</v>
      </c>
      <c r="D76" s="363" t="s">
        <v>75</v>
      </c>
      <c r="E76" s="248">
        <v>1600</v>
      </c>
      <c r="F76" s="239">
        <f>+C76*E76</f>
        <v>3200</v>
      </c>
      <c r="G76" s="248">
        <v>70</v>
      </c>
      <c r="H76" s="239">
        <f>+G76*C76</f>
        <v>140</v>
      </c>
      <c r="I76" s="249">
        <f>+F76+H76</f>
        <v>3340</v>
      </c>
      <c r="J76" s="330"/>
    </row>
    <row r="77" spans="1:10" ht="21.75">
      <c r="A77" s="167"/>
      <c r="B77" s="251" t="s">
        <v>522</v>
      </c>
      <c r="C77" s="157">
        <v>2.35</v>
      </c>
      <c r="D77" s="167" t="s">
        <v>93</v>
      </c>
      <c r="E77" s="240">
        <v>6500</v>
      </c>
      <c r="F77" s="157">
        <f>+C77*E77</f>
        <v>15275</v>
      </c>
      <c r="G77" s="240">
        <v>0</v>
      </c>
      <c r="H77" s="157">
        <f>+G77*C77</f>
        <v>0</v>
      </c>
      <c r="I77" s="175">
        <f>+F77+H77</f>
        <v>15275</v>
      </c>
      <c r="J77" s="329"/>
    </row>
    <row r="78" spans="1:10" ht="21.75">
      <c r="A78" s="167"/>
      <c r="B78" s="365" t="s">
        <v>523</v>
      </c>
      <c r="C78" s="156">
        <v>2.1</v>
      </c>
      <c r="D78" s="162" t="s">
        <v>181</v>
      </c>
      <c r="E78" s="241">
        <v>1450</v>
      </c>
      <c r="F78" s="156">
        <f>+C78*E78</f>
        <v>3045</v>
      </c>
      <c r="G78" s="241">
        <v>0</v>
      </c>
      <c r="H78" s="156">
        <f>+G78*C78</f>
        <v>0</v>
      </c>
      <c r="I78" s="238">
        <f>+F78+H78</f>
        <v>3045</v>
      </c>
      <c r="J78" s="329"/>
    </row>
    <row r="79" spans="1:10" ht="21.75">
      <c r="A79" s="167"/>
      <c r="B79" s="251" t="s">
        <v>565</v>
      </c>
      <c r="C79" s="157">
        <v>38.75</v>
      </c>
      <c r="D79" s="167" t="s">
        <v>181</v>
      </c>
      <c r="E79" s="240">
        <v>35</v>
      </c>
      <c r="F79" s="157">
        <f>+C79*E79</f>
        <v>1356.25</v>
      </c>
      <c r="G79" s="240">
        <v>25</v>
      </c>
      <c r="H79" s="157">
        <f>+G79*C79</f>
        <v>968.75</v>
      </c>
      <c r="I79" s="175">
        <f>+F79+H79</f>
        <v>2325</v>
      </c>
      <c r="J79" s="330"/>
    </row>
    <row r="80" spans="1:10" ht="43.5">
      <c r="A80" s="235"/>
      <c r="B80" s="371" t="s">
        <v>290</v>
      </c>
      <c r="C80" s="231"/>
      <c r="D80" s="231"/>
      <c r="E80" s="400"/>
      <c r="F80" s="228">
        <f>SUM(F40:F79)</f>
        <v>235402.8</v>
      </c>
      <c r="G80" s="401"/>
      <c r="H80" s="228">
        <f>SUM(H41:H79)</f>
        <v>67387.95</v>
      </c>
      <c r="I80" s="245">
        <f>SUM(I41:I79)</f>
        <v>302790.75</v>
      </c>
      <c r="J80" s="399"/>
    </row>
    <row r="81" spans="1:9" s="91" customFormat="1" ht="21.75">
      <c r="A81" s="89"/>
      <c r="B81" s="242"/>
      <c r="C81" s="90"/>
      <c r="D81" s="90"/>
      <c r="E81" s="243"/>
      <c r="F81" s="228"/>
      <c r="G81" s="244"/>
      <c r="H81" s="228"/>
      <c r="I81" s="245"/>
    </row>
    <row r="82" spans="1:9" s="91" customFormat="1" ht="21.75">
      <c r="A82" s="192"/>
      <c r="B82" s="192" t="s">
        <v>746</v>
      </c>
      <c r="C82" s="179"/>
      <c r="D82" s="179"/>
      <c r="E82" s="246"/>
      <c r="F82" s="180">
        <f>F24+F38+F80</f>
        <v>359558.85</v>
      </c>
      <c r="G82" s="246"/>
      <c r="H82" s="180">
        <f>H24+H38+H80</f>
        <v>120648.54999999999</v>
      </c>
      <c r="I82" s="247">
        <f>I24+I38+I80</f>
        <v>480207.4</v>
      </c>
    </row>
  </sheetData>
  <sheetProtection/>
  <mergeCells count="10">
    <mergeCell ref="C4:C5"/>
    <mergeCell ref="D4:D5"/>
    <mergeCell ref="E4:F4"/>
    <mergeCell ref="G4:H4"/>
    <mergeCell ref="I4:I5"/>
    <mergeCell ref="A1:I1"/>
    <mergeCell ref="A2:I2"/>
    <mergeCell ref="A3:I3"/>
    <mergeCell ref="A4:A5"/>
    <mergeCell ref="B4:B5"/>
  </mergeCells>
  <printOptions/>
  <pageMargins left="0.2755905511811024" right="0.11811023622047245" top="0.984251968503937" bottom="0.984251968503937" header="0.3937007874015748" footer="0.5118110236220472"/>
  <pageSetup horizontalDpi="600" verticalDpi="600" orientation="landscape" paperSize="9" r:id="rId2"/>
  <headerFooter alignWithMargins="0">
    <oddHeader>&amp;L&amp;"TH Sarabun New,Regular"&amp;12รายละเอียดบัญชีแสดงปริมาณวัสดุ แรงงาน และประมาณราคาค่าก่อสร้าง&amp;R&amp;"TH Sarabun New,Regular"&amp;12ปร.4  &amp;P / &amp;N</oddHeader>
    <oddFooter>&amp;L&amp;"TH Sarabun New,Regular"&amp;12หมายเหตุ บัญชีปริมาณงานฉบับนี้ผู้เสนอราคาจะต้องตรวจสอบรายละเอียดจากแบบรูปรายการโดยละเอียดอีกครั้ง หากปรากฏภายหลังว่าบัญชีปริมาณงานกับแบบรูปรายการขัดแย้งกัน ให้ยึดตามแบบรูปรายการ หรือคำวินิจฉัยของผู้ว่าจ้าง</oddFooter>
  </headerFooter>
  <rowBreaks count="1" manualBreakCount="1">
    <brk id="32" max="8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V41"/>
  <sheetViews>
    <sheetView view="pageBreakPreview" zoomScale="106" zoomScaleSheetLayoutView="106" zoomScalePageLayoutView="130" workbookViewId="0" topLeftCell="A1">
      <selection activeCell="C17" sqref="C17"/>
    </sheetView>
  </sheetViews>
  <sheetFormatPr defaultColWidth="11.421875" defaultRowHeight="21.75"/>
  <cols>
    <col min="1" max="1" width="8.421875" style="73" customWidth="1"/>
    <col min="2" max="2" width="53.421875" style="69" customWidth="1"/>
    <col min="3" max="3" width="12.00390625" style="74" customWidth="1"/>
    <col min="4" max="4" width="11.57421875" style="73" customWidth="1"/>
    <col min="5" max="5" width="12.421875" style="74" customWidth="1"/>
    <col min="6" max="6" width="14.421875" style="74" customWidth="1"/>
    <col min="7" max="7" width="12.421875" style="74" customWidth="1"/>
    <col min="8" max="8" width="14.421875" style="74" customWidth="1"/>
    <col min="9" max="9" width="15.421875" style="74" customWidth="1"/>
    <col min="10" max="10" width="20.421875" style="69" customWidth="1"/>
    <col min="11" max="16384" width="11.421875" style="69" customWidth="1"/>
  </cols>
  <sheetData>
    <row r="1" spans="1:9" ht="21.75">
      <c r="A1" s="697" t="s">
        <v>18</v>
      </c>
      <c r="B1" s="697"/>
      <c r="C1" s="697"/>
      <c r="D1" s="697"/>
      <c r="E1" s="697"/>
      <c r="F1" s="697"/>
      <c r="G1" s="697"/>
      <c r="H1" s="697"/>
      <c r="I1" s="697"/>
    </row>
    <row r="2" spans="1:9" ht="21.75">
      <c r="A2" s="698" t="str">
        <f>(สรุป!A2)</f>
        <v>ปรับปรุงศูนย์เวชศาสตร์ฟื้นฟูและดูแลผู้สูงวัย</v>
      </c>
      <c r="B2" s="698"/>
      <c r="C2" s="698"/>
      <c r="D2" s="698"/>
      <c r="E2" s="698"/>
      <c r="F2" s="698"/>
      <c r="G2" s="698"/>
      <c r="H2" s="698"/>
      <c r="I2" s="698"/>
    </row>
    <row r="3" spans="1:9" ht="21.75">
      <c r="A3" s="698" t="str">
        <f>(สรุป!A3)</f>
        <v>มหาวิทยาลัยราชภัฏอุตรดิตถ์</v>
      </c>
      <c r="B3" s="698"/>
      <c r="C3" s="698"/>
      <c r="D3" s="698"/>
      <c r="E3" s="698"/>
      <c r="F3" s="698"/>
      <c r="G3" s="698"/>
      <c r="H3" s="698"/>
      <c r="I3" s="698"/>
    </row>
    <row r="4" spans="1:9" ht="21.75">
      <c r="A4" s="699" t="s">
        <v>0</v>
      </c>
      <c r="B4" s="701" t="s">
        <v>1</v>
      </c>
      <c r="C4" s="695" t="s">
        <v>2</v>
      </c>
      <c r="D4" s="699" t="s">
        <v>3</v>
      </c>
      <c r="E4" s="704" t="s">
        <v>4</v>
      </c>
      <c r="F4" s="705"/>
      <c r="G4" s="706" t="s">
        <v>5</v>
      </c>
      <c r="H4" s="705"/>
      <c r="I4" s="695" t="s">
        <v>6</v>
      </c>
    </row>
    <row r="5" spans="1:9" ht="21.75">
      <c r="A5" s="700"/>
      <c r="B5" s="702"/>
      <c r="C5" s="703"/>
      <c r="D5" s="700"/>
      <c r="E5" s="70" t="s">
        <v>7</v>
      </c>
      <c r="F5" s="70" t="s">
        <v>8</v>
      </c>
      <c r="G5" s="70" t="s">
        <v>7</v>
      </c>
      <c r="H5" s="70" t="s">
        <v>8</v>
      </c>
      <c r="I5" s="696"/>
    </row>
    <row r="6" spans="1:9" ht="21.75">
      <c r="A6" s="235">
        <v>3</v>
      </c>
      <c r="B6" s="230" t="s">
        <v>283</v>
      </c>
      <c r="C6" s="231"/>
      <c r="D6" s="231"/>
      <c r="E6" s="231"/>
      <c r="F6" s="155"/>
      <c r="G6" s="231"/>
      <c r="H6" s="155"/>
      <c r="I6" s="155"/>
    </row>
    <row r="7" spans="1:9" ht="21.75">
      <c r="A7" s="336">
        <v>3.01</v>
      </c>
      <c r="B7" s="230" t="s">
        <v>395</v>
      </c>
      <c r="C7" s="157"/>
      <c r="D7" s="167"/>
      <c r="E7" s="157"/>
      <c r="F7" s="157"/>
      <c r="G7" s="157"/>
      <c r="H7" s="157"/>
      <c r="I7" s="157"/>
    </row>
    <row r="8" spans="1:9" s="301" customFormat="1" ht="21.75">
      <c r="A8" s="167"/>
      <c r="B8" s="402" t="s">
        <v>570</v>
      </c>
      <c r="C8" s="207">
        <v>1470</v>
      </c>
      <c r="D8" s="208" t="s">
        <v>93</v>
      </c>
      <c r="E8" s="207">
        <v>70</v>
      </c>
      <c r="F8" s="207">
        <f>+C8*E8</f>
        <v>102900</v>
      </c>
      <c r="G8" s="207">
        <v>35</v>
      </c>
      <c r="H8" s="207">
        <f>+G8*C8</f>
        <v>51450</v>
      </c>
      <c r="I8" s="209">
        <f>+F8+H8</f>
        <v>154350</v>
      </c>
    </row>
    <row r="9" spans="1:9" ht="21.75">
      <c r="A9" s="167"/>
      <c r="B9" s="403" t="s">
        <v>548</v>
      </c>
      <c r="C9" s="178">
        <v>1</v>
      </c>
      <c r="D9" s="194" t="s">
        <v>93</v>
      </c>
      <c r="E9" s="178">
        <v>750</v>
      </c>
      <c r="F9" s="178">
        <f>+C9*E9</f>
        <v>750</v>
      </c>
      <c r="G9" s="178">
        <v>75</v>
      </c>
      <c r="H9" s="178">
        <f>+G9*C9</f>
        <v>75</v>
      </c>
      <c r="I9" s="181">
        <f>+F9+H9</f>
        <v>825</v>
      </c>
    </row>
    <row r="10" spans="1:9" ht="21.75">
      <c r="A10" s="167"/>
      <c r="B10" s="404" t="s">
        <v>396</v>
      </c>
      <c r="C10" s="178"/>
      <c r="D10" s="194"/>
      <c r="E10" s="178"/>
      <c r="F10" s="227">
        <f>SUM(F8:F9)</f>
        <v>103650</v>
      </c>
      <c r="G10" s="227"/>
      <c r="H10" s="227">
        <f>SUM(H8:H9)</f>
        <v>51525</v>
      </c>
      <c r="I10" s="236">
        <f>SUM(I8:I9)</f>
        <v>155175</v>
      </c>
    </row>
    <row r="11" spans="1:9" ht="21.75">
      <c r="A11" s="336">
        <v>3.02</v>
      </c>
      <c r="B11" s="405" t="s">
        <v>402</v>
      </c>
      <c r="C11" s="178"/>
      <c r="D11" s="194"/>
      <c r="E11" s="178"/>
      <c r="F11" s="178"/>
      <c r="G11" s="178"/>
      <c r="H11" s="178"/>
      <c r="I11" s="181"/>
    </row>
    <row r="12" spans="1:9" ht="21.75">
      <c r="A12" s="167"/>
      <c r="B12" s="397" t="s">
        <v>397</v>
      </c>
      <c r="C12" s="178">
        <v>65</v>
      </c>
      <c r="D12" s="194" t="s">
        <v>93</v>
      </c>
      <c r="E12" s="178">
        <v>0</v>
      </c>
      <c r="F12" s="178">
        <f>+C12*E12</f>
        <v>0</v>
      </c>
      <c r="G12" s="178">
        <v>50</v>
      </c>
      <c r="H12" s="178">
        <f aca="true" t="shared" si="0" ref="H12:H17">+G12*C12</f>
        <v>3250</v>
      </c>
      <c r="I12" s="181">
        <f aca="true" t="shared" si="1" ref="I12:I17">+F12+H12</f>
        <v>3250</v>
      </c>
    </row>
    <row r="13" spans="1:9" ht="21.75">
      <c r="A13" s="167"/>
      <c r="B13" s="397" t="s">
        <v>545</v>
      </c>
      <c r="C13" s="178">
        <v>1</v>
      </c>
      <c r="D13" s="194" t="s">
        <v>76</v>
      </c>
      <c r="E13" s="178">
        <v>1500</v>
      </c>
      <c r="F13" s="178">
        <f>+C13*E13</f>
        <v>1500</v>
      </c>
      <c r="G13" s="178">
        <v>75</v>
      </c>
      <c r="H13" s="178">
        <f t="shared" si="0"/>
        <v>75</v>
      </c>
      <c r="I13" s="181">
        <f t="shared" si="1"/>
        <v>1575</v>
      </c>
    </row>
    <row r="14" spans="1:9" ht="21.75">
      <c r="A14" s="167"/>
      <c r="B14" s="397" t="s">
        <v>543</v>
      </c>
      <c r="C14" s="195">
        <v>60.4</v>
      </c>
      <c r="D14" s="194" t="s">
        <v>93</v>
      </c>
      <c r="E14" s="178">
        <v>480</v>
      </c>
      <c r="F14" s="178">
        <f>C14*E14</f>
        <v>28992</v>
      </c>
      <c r="G14" s="178">
        <v>125</v>
      </c>
      <c r="H14" s="178">
        <f t="shared" si="0"/>
        <v>7550</v>
      </c>
      <c r="I14" s="181">
        <f t="shared" si="1"/>
        <v>36542</v>
      </c>
    </row>
    <row r="15" spans="1:9" ht="21.75">
      <c r="A15" s="167"/>
      <c r="B15" s="397" t="s">
        <v>544</v>
      </c>
      <c r="C15" s="195">
        <v>23.5</v>
      </c>
      <c r="D15" s="194" t="s">
        <v>181</v>
      </c>
      <c r="E15" s="178">
        <v>120</v>
      </c>
      <c r="F15" s="178">
        <v>0</v>
      </c>
      <c r="G15" s="178">
        <v>80</v>
      </c>
      <c r="H15" s="178">
        <f t="shared" si="0"/>
        <v>1880</v>
      </c>
      <c r="I15" s="181">
        <f t="shared" si="1"/>
        <v>1880</v>
      </c>
    </row>
    <row r="16" spans="1:9" s="301" customFormat="1" ht="43.5">
      <c r="A16" s="167"/>
      <c r="B16" s="328" t="s">
        <v>568</v>
      </c>
      <c r="C16" s="166">
        <v>156</v>
      </c>
      <c r="D16" s="208" t="s">
        <v>93</v>
      </c>
      <c r="E16" s="207">
        <v>70</v>
      </c>
      <c r="F16" s="207">
        <f>+C16*E16</f>
        <v>10920</v>
      </c>
      <c r="G16" s="207">
        <v>30</v>
      </c>
      <c r="H16" s="207">
        <f t="shared" si="0"/>
        <v>4680</v>
      </c>
      <c r="I16" s="209">
        <f t="shared" si="1"/>
        <v>15600</v>
      </c>
    </row>
    <row r="17" spans="1:9" ht="21.75">
      <c r="A17" s="167"/>
      <c r="B17" s="397" t="s">
        <v>538</v>
      </c>
      <c r="C17" s="164">
        <v>1</v>
      </c>
      <c r="D17" s="194" t="s">
        <v>76</v>
      </c>
      <c r="E17" s="178"/>
      <c r="F17" s="178">
        <f>+C17*E17</f>
        <v>0</v>
      </c>
      <c r="G17" s="178">
        <v>16500</v>
      </c>
      <c r="H17" s="178">
        <f t="shared" si="0"/>
        <v>16500</v>
      </c>
      <c r="I17" s="181">
        <f t="shared" si="1"/>
        <v>16500</v>
      </c>
    </row>
    <row r="18" spans="1:9" ht="21.75">
      <c r="A18" s="332"/>
      <c r="B18" s="591" t="s">
        <v>403</v>
      </c>
      <c r="C18" s="163"/>
      <c r="D18" s="332"/>
      <c r="E18" s="163"/>
      <c r="F18" s="592">
        <f>SUM(F12:F17)</f>
        <v>41412</v>
      </c>
      <c r="G18" s="592"/>
      <c r="H18" s="592">
        <f>SUM(H12:H17)</f>
        <v>33935</v>
      </c>
      <c r="I18" s="592">
        <f>SUM(I12:I17)</f>
        <v>75347</v>
      </c>
    </row>
    <row r="19" spans="1:9" ht="21.75">
      <c r="A19" s="333">
        <v>3.03</v>
      </c>
      <c r="B19" s="588" t="s">
        <v>493</v>
      </c>
      <c r="C19" s="239"/>
      <c r="D19" s="363"/>
      <c r="E19" s="239"/>
      <c r="F19" s="239"/>
      <c r="G19" s="239"/>
      <c r="H19" s="239"/>
      <c r="I19" s="239"/>
    </row>
    <row r="20" spans="1:9" ht="21.75">
      <c r="A20" s="167"/>
      <c r="B20" s="391" t="s">
        <v>399</v>
      </c>
      <c r="C20" s="157">
        <v>81</v>
      </c>
      <c r="D20" s="167" t="s">
        <v>183</v>
      </c>
      <c r="E20" s="157">
        <f>+E19*2</f>
        <v>0</v>
      </c>
      <c r="F20" s="157">
        <f>+C20*E20</f>
        <v>0</v>
      </c>
      <c r="G20" s="157">
        <v>25</v>
      </c>
      <c r="H20" s="157">
        <f>+G20*C20</f>
        <v>2025</v>
      </c>
      <c r="I20" s="157">
        <f>+F20+H20</f>
        <v>2025</v>
      </c>
    </row>
    <row r="21" spans="1:9" s="301" customFormat="1" ht="43.5">
      <c r="A21" s="167"/>
      <c r="B21" s="394" t="s">
        <v>553</v>
      </c>
      <c r="C21" s="156">
        <v>320.1</v>
      </c>
      <c r="D21" s="162" t="s">
        <v>183</v>
      </c>
      <c r="E21" s="156">
        <v>320</v>
      </c>
      <c r="F21" s="156">
        <f>+C21*E21</f>
        <v>102432</v>
      </c>
      <c r="G21" s="156">
        <v>75</v>
      </c>
      <c r="H21" s="156">
        <f>+G21*C21</f>
        <v>24007.5</v>
      </c>
      <c r="I21" s="156">
        <f>+F21+H21</f>
        <v>126439.5</v>
      </c>
    </row>
    <row r="22" spans="1:9" ht="21.75">
      <c r="A22" s="167"/>
      <c r="B22" s="391" t="s">
        <v>494</v>
      </c>
      <c r="C22" s="157">
        <v>402.2</v>
      </c>
      <c r="D22" s="167" t="s">
        <v>183</v>
      </c>
      <c r="E22" s="157">
        <v>550</v>
      </c>
      <c r="F22" s="157">
        <f>+C22*E22</f>
        <v>221210</v>
      </c>
      <c r="G22" s="157">
        <v>120</v>
      </c>
      <c r="H22" s="157">
        <f>+G22*C22</f>
        <v>48264</v>
      </c>
      <c r="I22" s="157">
        <f>+F22+H22</f>
        <v>269474</v>
      </c>
    </row>
    <row r="23" spans="1:9" s="301" customFormat="1" ht="43.5">
      <c r="A23" s="167"/>
      <c r="B23" s="328" t="s">
        <v>521</v>
      </c>
      <c r="C23" s="156">
        <v>320.2</v>
      </c>
      <c r="D23" s="162" t="s">
        <v>183</v>
      </c>
      <c r="E23" s="156">
        <v>45</v>
      </c>
      <c r="F23" s="156">
        <f>+C23*E23</f>
        <v>14409</v>
      </c>
      <c r="G23" s="156">
        <v>30</v>
      </c>
      <c r="H23" s="156">
        <f>+G23*C23</f>
        <v>9606</v>
      </c>
      <c r="I23" s="156">
        <f>+F23+H23</f>
        <v>24015</v>
      </c>
    </row>
    <row r="24" spans="1:9" ht="21.75">
      <c r="A24" s="167"/>
      <c r="B24" s="408" t="s">
        <v>398</v>
      </c>
      <c r="C24" s="231"/>
      <c r="D24" s="231"/>
      <c r="E24" s="231"/>
      <c r="F24" s="155">
        <f>SUM(F20:F23)</f>
        <v>338051</v>
      </c>
      <c r="G24" s="231"/>
      <c r="H24" s="155">
        <f>SUM(H20:H23)</f>
        <v>83902.5</v>
      </c>
      <c r="I24" s="155">
        <f>SUM(I20:I23)</f>
        <v>421953.5</v>
      </c>
    </row>
    <row r="25" spans="1:9" ht="21.75">
      <c r="A25" s="336">
        <v>3.04</v>
      </c>
      <c r="B25" s="407" t="s">
        <v>549</v>
      </c>
      <c r="C25" s="271"/>
      <c r="D25" s="271"/>
      <c r="E25" s="271"/>
      <c r="F25" s="157"/>
      <c r="G25" s="271"/>
      <c r="H25" s="157"/>
      <c r="I25" s="157"/>
    </row>
    <row r="26" spans="1:9" s="301" customFormat="1" ht="43.5">
      <c r="A26" s="167"/>
      <c r="B26" s="328" t="s">
        <v>558</v>
      </c>
      <c r="C26" s="156">
        <v>442.1</v>
      </c>
      <c r="D26" s="162" t="s">
        <v>183</v>
      </c>
      <c r="E26" s="156">
        <v>80</v>
      </c>
      <c r="F26" s="156">
        <f>+C26*E26</f>
        <v>35368</v>
      </c>
      <c r="G26" s="156">
        <v>30</v>
      </c>
      <c r="H26" s="156">
        <f>+G26*C26</f>
        <v>13263</v>
      </c>
      <c r="I26" s="156">
        <f>+F26+H26</f>
        <v>48631</v>
      </c>
    </row>
    <row r="27" spans="1:9" ht="21.75">
      <c r="A27" s="167"/>
      <c r="B27" s="408" t="s">
        <v>546</v>
      </c>
      <c r="C27" s="231"/>
      <c r="D27" s="231"/>
      <c r="E27" s="231"/>
      <c r="F27" s="155">
        <f>SUM(F26)</f>
        <v>35368</v>
      </c>
      <c r="G27" s="231"/>
      <c r="H27" s="155">
        <f>SUM(H26)</f>
        <v>13263</v>
      </c>
      <c r="I27" s="155">
        <f>SUM(I26)</f>
        <v>48631</v>
      </c>
    </row>
    <row r="28" spans="1:9" ht="21.75">
      <c r="A28" s="336">
        <v>3.05</v>
      </c>
      <c r="B28" s="230" t="s">
        <v>585</v>
      </c>
      <c r="C28" s="157"/>
      <c r="D28" s="167"/>
      <c r="E28" s="157"/>
      <c r="F28" s="157"/>
      <c r="G28" s="157"/>
      <c r="H28" s="157"/>
      <c r="I28" s="157"/>
    </row>
    <row r="29" spans="1:9" ht="21.75">
      <c r="A29" s="336"/>
      <c r="B29" s="409" t="s">
        <v>586</v>
      </c>
      <c r="C29" s="178">
        <v>1</v>
      </c>
      <c r="D29" s="167" t="s">
        <v>76</v>
      </c>
      <c r="E29" s="178">
        <v>3000</v>
      </c>
      <c r="F29" s="178">
        <f>+C29*E29</f>
        <v>3000</v>
      </c>
      <c r="G29" s="178">
        <v>0</v>
      </c>
      <c r="H29" s="178">
        <f>+G29*C29</f>
        <v>0</v>
      </c>
      <c r="I29" s="181">
        <f>+F29+H29</f>
        <v>3000</v>
      </c>
    </row>
    <row r="30" spans="1:21" ht="21.75">
      <c r="A30" s="327"/>
      <c r="B30" s="409" t="s">
        <v>552</v>
      </c>
      <c r="C30" s="178">
        <v>2959.25</v>
      </c>
      <c r="D30" s="167" t="s">
        <v>93</v>
      </c>
      <c r="E30" s="178">
        <v>0</v>
      </c>
      <c r="F30" s="178">
        <f>+C30*E30</f>
        <v>0</v>
      </c>
      <c r="G30" s="178">
        <v>10</v>
      </c>
      <c r="H30" s="178">
        <f>+G30*C30</f>
        <v>29592.5</v>
      </c>
      <c r="I30" s="181">
        <f>+F30+H30</f>
        <v>29592.5</v>
      </c>
      <c r="K30" s="91"/>
      <c r="L30" s="176"/>
      <c r="M30" s="210"/>
      <c r="N30" s="211"/>
      <c r="O30" s="210"/>
      <c r="P30" s="210"/>
      <c r="Q30" s="210"/>
      <c r="R30" s="210"/>
      <c r="S30" s="210"/>
      <c r="T30" s="91"/>
      <c r="U30" s="91"/>
    </row>
    <row r="31" spans="1:21" ht="43.5">
      <c r="A31" s="331"/>
      <c r="B31" s="478" t="s">
        <v>568</v>
      </c>
      <c r="C31" s="232">
        <v>2959.25</v>
      </c>
      <c r="D31" s="261" t="s">
        <v>93</v>
      </c>
      <c r="E31" s="232">
        <v>70</v>
      </c>
      <c r="F31" s="232">
        <f>+C31*E31</f>
        <v>207147.5</v>
      </c>
      <c r="G31" s="232">
        <v>30</v>
      </c>
      <c r="H31" s="589">
        <f>+G31*C31</f>
        <v>88777.5</v>
      </c>
      <c r="I31" s="590">
        <f>+F31+H31</f>
        <v>295925</v>
      </c>
      <c r="J31" s="575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</row>
    <row r="32" spans="1:9" ht="21.75">
      <c r="A32" s="370"/>
      <c r="B32" s="286" t="s">
        <v>589</v>
      </c>
      <c r="C32" s="239">
        <v>55.65</v>
      </c>
      <c r="D32" s="363" t="s">
        <v>93</v>
      </c>
      <c r="E32" s="239">
        <v>3300</v>
      </c>
      <c r="F32" s="239">
        <f>+C32*E32</f>
        <v>183645</v>
      </c>
      <c r="G32" s="239">
        <v>120</v>
      </c>
      <c r="H32" s="586">
        <f>+G32*C32</f>
        <v>6678</v>
      </c>
      <c r="I32" s="587">
        <f>+F32+H32</f>
        <v>190323</v>
      </c>
    </row>
    <row r="33" spans="1:9" ht="21.75">
      <c r="A33" s="327"/>
      <c r="B33" s="287" t="s">
        <v>628</v>
      </c>
      <c r="C33" s="157">
        <v>81.5</v>
      </c>
      <c r="D33" s="167" t="s">
        <v>93</v>
      </c>
      <c r="E33" s="157">
        <v>2500</v>
      </c>
      <c r="F33" s="157">
        <f>+C33*E33</f>
        <v>203750</v>
      </c>
      <c r="G33" s="157">
        <v>150</v>
      </c>
      <c r="H33" s="178">
        <f>+G33*C33</f>
        <v>12225</v>
      </c>
      <c r="I33" s="181">
        <f>+F33+H33</f>
        <v>215975</v>
      </c>
    </row>
    <row r="34" spans="1:10" ht="21.75">
      <c r="A34" s="327"/>
      <c r="B34" s="585" t="s">
        <v>688</v>
      </c>
      <c r="C34" s="155"/>
      <c r="D34" s="235"/>
      <c r="E34" s="155"/>
      <c r="F34" s="155">
        <f>SUM(F29:F33)</f>
        <v>597542.5</v>
      </c>
      <c r="G34" s="155"/>
      <c r="H34" s="155">
        <f>SUM(H29:H33)</f>
        <v>137273</v>
      </c>
      <c r="I34" s="155">
        <f>SUM(I29:I33)</f>
        <v>734815.5</v>
      </c>
      <c r="J34" s="575"/>
    </row>
    <row r="35" spans="1:9" ht="43.5">
      <c r="A35" s="324">
        <v>3.06</v>
      </c>
      <c r="B35" s="325" t="s">
        <v>255</v>
      </c>
      <c r="C35" s="157"/>
      <c r="D35" s="167"/>
      <c r="E35" s="157"/>
      <c r="F35" s="157"/>
      <c r="G35" s="157"/>
      <c r="H35" s="157"/>
      <c r="I35" s="157"/>
    </row>
    <row r="36" spans="1:9" ht="43.5">
      <c r="A36" s="167"/>
      <c r="B36" s="410" t="s">
        <v>95</v>
      </c>
      <c r="C36" s="156">
        <v>225</v>
      </c>
      <c r="D36" s="182" t="s">
        <v>181</v>
      </c>
      <c r="E36" s="156">
        <v>50</v>
      </c>
      <c r="F36" s="156">
        <f>+C36*E36</f>
        <v>11250</v>
      </c>
      <c r="G36" s="156">
        <v>55</v>
      </c>
      <c r="H36" s="156">
        <f>+G36*C36</f>
        <v>12375</v>
      </c>
      <c r="I36" s="156">
        <f>+F36+H36</f>
        <v>23625</v>
      </c>
    </row>
    <row r="37" spans="1:22" ht="43.5">
      <c r="A37" s="167"/>
      <c r="B37" s="411" t="s">
        <v>256</v>
      </c>
      <c r="C37" s="157"/>
      <c r="D37" s="167"/>
      <c r="E37" s="157"/>
      <c r="F37" s="228">
        <f>SUM(F36:F36)</f>
        <v>11250</v>
      </c>
      <c r="G37" s="228"/>
      <c r="H37" s="228">
        <f>SUM(H36:H36)</f>
        <v>12375</v>
      </c>
      <c r="I37" s="228">
        <f>SUM(I36:I36)</f>
        <v>23625</v>
      </c>
      <c r="N37" s="197"/>
      <c r="O37" s="196"/>
      <c r="P37" s="198"/>
      <c r="Q37" s="196"/>
      <c r="R37" s="196"/>
      <c r="S37" s="196"/>
      <c r="T37" s="196"/>
      <c r="U37" s="196"/>
      <c r="V37" s="91"/>
    </row>
    <row r="38" spans="1:22" s="297" customFormat="1" ht="43.5">
      <c r="A38" s="324">
        <v>3.07</v>
      </c>
      <c r="B38" s="412" t="s">
        <v>576</v>
      </c>
      <c r="C38" s="156">
        <v>1</v>
      </c>
      <c r="D38" s="182" t="s">
        <v>76</v>
      </c>
      <c r="E38" s="156">
        <v>65000</v>
      </c>
      <c r="F38" s="156">
        <f>+C38*E38</f>
        <v>65000</v>
      </c>
      <c r="G38" s="156">
        <v>2500</v>
      </c>
      <c r="H38" s="156">
        <f>+G38*C38</f>
        <v>2500</v>
      </c>
      <c r="I38" s="156">
        <f>+F38+H38</f>
        <v>67500</v>
      </c>
      <c r="N38" s="302"/>
      <c r="O38" s="303"/>
      <c r="P38" s="304"/>
      <c r="Q38" s="303"/>
      <c r="R38" s="305"/>
      <c r="S38" s="305"/>
      <c r="T38" s="305"/>
      <c r="U38" s="305"/>
      <c r="V38" s="296"/>
    </row>
    <row r="39" spans="1:9" ht="21.75">
      <c r="A39" s="167"/>
      <c r="B39" s="406" t="s">
        <v>639</v>
      </c>
      <c r="C39" s="157"/>
      <c r="D39" s="167"/>
      <c r="E39" s="157"/>
      <c r="F39" s="228">
        <f>SUM(F38)</f>
        <v>65000</v>
      </c>
      <c r="G39" s="228"/>
      <c r="H39" s="228">
        <f>SUM(H38)</f>
        <v>2500</v>
      </c>
      <c r="I39" s="228">
        <f>SUM(I38)</f>
        <v>67500</v>
      </c>
    </row>
    <row r="40" spans="1:9" ht="21.75">
      <c r="A40" s="88"/>
      <c r="B40" s="173"/>
      <c r="C40" s="183"/>
      <c r="D40" s="88"/>
      <c r="E40" s="183"/>
      <c r="F40" s="183"/>
      <c r="G40" s="183"/>
      <c r="H40" s="183"/>
      <c r="I40" s="183"/>
    </row>
    <row r="41" spans="1:9" ht="21.75">
      <c r="A41" s="184"/>
      <c r="B41" s="215" t="s">
        <v>291</v>
      </c>
      <c r="C41" s="229"/>
      <c r="D41" s="192"/>
      <c r="E41" s="229"/>
      <c r="F41" s="229">
        <f>F10+F18+F24+F27+F34+F37+F39</f>
        <v>1192273.5</v>
      </c>
      <c r="G41" s="229"/>
      <c r="H41" s="229">
        <f>H10+H18+H24+H27+H34+H37+H39</f>
        <v>334773.5</v>
      </c>
      <c r="I41" s="229">
        <f>I10+I18+I24+I27+I34+I37+I39</f>
        <v>1527047</v>
      </c>
    </row>
  </sheetData>
  <sheetProtection/>
  <mergeCells count="10">
    <mergeCell ref="A1:I1"/>
    <mergeCell ref="A2:I2"/>
    <mergeCell ref="A3:I3"/>
    <mergeCell ref="A4:A5"/>
    <mergeCell ref="B4:B5"/>
    <mergeCell ref="C4:C5"/>
    <mergeCell ref="D4:D5"/>
    <mergeCell ref="E4:F4"/>
    <mergeCell ref="G4:H4"/>
    <mergeCell ref="I4:I5"/>
  </mergeCells>
  <printOptions/>
  <pageMargins left="0.2755905511811024" right="0.11811023622047245" top="0.984251968503937" bottom="0.984251968503937" header="0.3937007874015748" footer="0.5118110236220472"/>
  <pageSetup horizontalDpi="600" verticalDpi="600" orientation="landscape" paperSize="9" r:id="rId2"/>
  <headerFooter alignWithMargins="0">
    <oddHeader>&amp;L&amp;"TH Sarabun New,Regular"&amp;12รายละเอียดบัญชีแสดงปริมาณวัสดุ แรงงาน และประมาณราคาค่าก่อสร้าง&amp;R&amp;"TH Sarabun New,Regular"&amp;12ปร.4  &amp;P / &amp;N</oddHeader>
    <oddFooter>&amp;L&amp;"TH Sarabun New,Regular"&amp;12หมายเหตุ บัญชีปริมาณงานฉบับนี้ผู้เสนอราคาจะต้องตรวจสอบรายละเอียดจากแบบรูปรายการโดยละเอียดอีกครั้ง หากปรากฏภายหลังว่าบัญชีปริมาณงานกับแบบรูปรายการขัดแย้งกัน ให้ยึดตามแบบรูปรายการ หรือคำวินิจฉัยของผู้ว่าจ้าง</oddFooter>
  </headerFooter>
  <rowBreaks count="1" manualBreakCount="1">
    <brk id="18" max="8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/>
  <dimension ref="A1:O20"/>
  <sheetViews>
    <sheetView view="pageBreakPreview" zoomScale="95" zoomScaleSheetLayoutView="95" workbookViewId="0" topLeftCell="A1">
      <selection activeCell="B13" sqref="B12:B13"/>
    </sheetView>
  </sheetViews>
  <sheetFormatPr defaultColWidth="11.421875" defaultRowHeight="21.75"/>
  <cols>
    <col min="1" max="1" width="11.00390625" style="424" customWidth="1"/>
    <col min="2" max="2" width="74.00390625" style="100" customWidth="1"/>
    <col min="3" max="3" width="12.421875" style="425" customWidth="1"/>
    <col min="4" max="4" width="12.28125" style="424" customWidth="1"/>
    <col min="5" max="5" width="14.140625" style="425" customWidth="1"/>
    <col min="6" max="6" width="16.28125" style="425" customWidth="1"/>
    <col min="7" max="7" width="13.8515625" style="425" customWidth="1"/>
    <col min="8" max="8" width="16.140625" style="425" customWidth="1"/>
    <col min="9" max="9" width="18.7109375" style="425" customWidth="1"/>
    <col min="10" max="10" width="20.421875" style="100" customWidth="1"/>
    <col min="11" max="11" width="11.421875" style="100" customWidth="1"/>
    <col min="12" max="12" width="24.421875" style="100" customWidth="1"/>
    <col min="13" max="16384" width="11.421875" style="100" customWidth="1"/>
  </cols>
  <sheetData>
    <row r="1" spans="1:9" ht="21.75">
      <c r="A1" s="708" t="s">
        <v>18</v>
      </c>
      <c r="B1" s="709"/>
      <c r="C1" s="709"/>
      <c r="D1" s="709"/>
      <c r="E1" s="709"/>
      <c r="F1" s="709"/>
      <c r="G1" s="709"/>
      <c r="H1" s="709"/>
      <c r="I1" s="710"/>
    </row>
    <row r="2" spans="1:9" ht="21.75">
      <c r="A2" s="711" t="str">
        <f>(สรุป!A2)</f>
        <v>ปรับปรุงศูนย์เวชศาสตร์ฟื้นฟูและดูแลผู้สูงวัย</v>
      </c>
      <c r="B2" s="698"/>
      <c r="C2" s="698"/>
      <c r="D2" s="698"/>
      <c r="E2" s="698"/>
      <c r="F2" s="698"/>
      <c r="G2" s="698"/>
      <c r="H2" s="698"/>
      <c r="I2" s="712"/>
    </row>
    <row r="3" spans="1:9" ht="21.75">
      <c r="A3" s="713" t="str">
        <f>(สรุป!A3)</f>
        <v>มหาวิทยาลัยราชภัฏอุตรดิตถ์</v>
      </c>
      <c r="B3" s="714"/>
      <c r="C3" s="714"/>
      <c r="D3" s="714"/>
      <c r="E3" s="714"/>
      <c r="F3" s="714"/>
      <c r="G3" s="714"/>
      <c r="H3" s="714"/>
      <c r="I3" s="715"/>
    </row>
    <row r="4" spans="1:9" ht="21.75">
      <c r="A4" s="699" t="s">
        <v>0</v>
      </c>
      <c r="B4" s="701" t="s">
        <v>1</v>
      </c>
      <c r="C4" s="695" t="s">
        <v>2</v>
      </c>
      <c r="D4" s="699" t="s">
        <v>3</v>
      </c>
      <c r="E4" s="704" t="s">
        <v>4</v>
      </c>
      <c r="F4" s="705"/>
      <c r="G4" s="706" t="s">
        <v>5</v>
      </c>
      <c r="H4" s="705"/>
      <c r="I4" s="695" t="s">
        <v>6</v>
      </c>
    </row>
    <row r="5" spans="1:9" ht="21.75">
      <c r="A5" s="700"/>
      <c r="B5" s="702"/>
      <c r="C5" s="703"/>
      <c r="D5" s="700"/>
      <c r="E5" s="212" t="s">
        <v>7</v>
      </c>
      <c r="F5" s="70" t="s">
        <v>8</v>
      </c>
      <c r="G5" s="70" t="s">
        <v>7</v>
      </c>
      <c r="H5" s="70" t="s">
        <v>8</v>
      </c>
      <c r="I5" s="703"/>
    </row>
    <row r="6" spans="1:9" ht="21.75">
      <c r="A6" s="153">
        <v>4</v>
      </c>
      <c r="B6" s="226" t="s">
        <v>541</v>
      </c>
      <c r="C6" s="152"/>
      <c r="D6" s="153"/>
      <c r="E6" s="224"/>
      <c r="F6" s="154"/>
      <c r="G6" s="154"/>
      <c r="H6" s="154"/>
      <c r="I6" s="152"/>
    </row>
    <row r="7" spans="1:9" ht="21.75">
      <c r="A7" s="327"/>
      <c r="B7" s="397" t="s">
        <v>298</v>
      </c>
      <c r="C7" s="159">
        <v>207.52</v>
      </c>
      <c r="D7" s="185" t="s">
        <v>183</v>
      </c>
      <c r="E7" s="413">
        <v>0</v>
      </c>
      <c r="F7" s="159">
        <f aca="true" t="shared" si="0" ref="F7:F16">+C7*E7</f>
        <v>0</v>
      </c>
      <c r="G7" s="313">
        <v>30</v>
      </c>
      <c r="H7" s="159">
        <f aca="true" t="shared" si="1" ref="H7:H16">+G7*C7</f>
        <v>6225.6</v>
      </c>
      <c r="I7" s="159">
        <f aca="true" t="shared" si="2" ref="I7:I16">+F7+H7</f>
        <v>6225.6</v>
      </c>
    </row>
    <row r="8" spans="1:9" ht="21.75">
      <c r="A8" s="327"/>
      <c r="B8" s="397" t="s">
        <v>390</v>
      </c>
      <c r="C8" s="159">
        <v>153.37</v>
      </c>
      <c r="D8" s="185" t="s">
        <v>183</v>
      </c>
      <c r="E8" s="413">
        <v>0</v>
      </c>
      <c r="F8" s="159">
        <f t="shared" si="0"/>
        <v>0</v>
      </c>
      <c r="G8" s="313">
        <v>35</v>
      </c>
      <c r="H8" s="159">
        <f t="shared" si="1"/>
        <v>5367.95</v>
      </c>
      <c r="I8" s="159">
        <f t="shared" si="2"/>
        <v>5367.95</v>
      </c>
    </row>
    <row r="9" spans="1:9" ht="21.75">
      <c r="A9" s="327"/>
      <c r="B9" s="397" t="s">
        <v>391</v>
      </c>
      <c r="C9" s="159">
        <v>192.05</v>
      </c>
      <c r="D9" s="185" t="s">
        <v>183</v>
      </c>
      <c r="E9" s="413">
        <v>550</v>
      </c>
      <c r="F9" s="159">
        <f t="shared" si="0"/>
        <v>105627.5</v>
      </c>
      <c r="G9" s="313">
        <v>80</v>
      </c>
      <c r="H9" s="159">
        <f t="shared" si="1"/>
        <v>15364</v>
      </c>
      <c r="I9" s="159">
        <f t="shared" si="2"/>
        <v>120991.5</v>
      </c>
    </row>
    <row r="10" spans="1:9" ht="21.75" customHeight="1">
      <c r="A10" s="327"/>
      <c r="B10" s="397" t="s">
        <v>510</v>
      </c>
      <c r="C10" s="204">
        <v>77.8</v>
      </c>
      <c r="D10" s="205" t="s">
        <v>183</v>
      </c>
      <c r="E10" s="414">
        <v>750</v>
      </c>
      <c r="F10" s="204">
        <f>+C10*E10</f>
        <v>58350</v>
      </c>
      <c r="G10" s="204">
        <v>222</v>
      </c>
      <c r="H10" s="204">
        <f>+G10*C10</f>
        <v>17271.6</v>
      </c>
      <c r="I10" s="204">
        <f>+F10+H10</f>
        <v>75621.6</v>
      </c>
    </row>
    <row r="11" spans="1:9" ht="21.75">
      <c r="A11" s="327"/>
      <c r="B11" s="397" t="s">
        <v>623</v>
      </c>
      <c r="C11" s="159">
        <v>90.8</v>
      </c>
      <c r="D11" s="185" t="s">
        <v>183</v>
      </c>
      <c r="E11" s="413">
        <v>750</v>
      </c>
      <c r="F11" s="159">
        <f t="shared" si="0"/>
        <v>68100</v>
      </c>
      <c r="G11" s="313">
        <v>190</v>
      </c>
      <c r="H11" s="159">
        <f t="shared" si="1"/>
        <v>17252</v>
      </c>
      <c r="I11" s="159">
        <f t="shared" si="2"/>
        <v>85352</v>
      </c>
    </row>
    <row r="12" spans="1:15" ht="21.75">
      <c r="A12" s="327"/>
      <c r="B12" s="397" t="s">
        <v>392</v>
      </c>
      <c r="C12" s="159">
        <v>23.75</v>
      </c>
      <c r="D12" s="185" t="s">
        <v>183</v>
      </c>
      <c r="E12" s="413">
        <v>394</v>
      </c>
      <c r="F12" s="159">
        <f t="shared" si="0"/>
        <v>9357.5</v>
      </c>
      <c r="G12" s="313">
        <v>104</v>
      </c>
      <c r="H12" s="159">
        <f t="shared" si="1"/>
        <v>2470</v>
      </c>
      <c r="I12" s="159">
        <f t="shared" si="2"/>
        <v>11827.5</v>
      </c>
      <c r="L12" s="415"/>
      <c r="M12" s="416"/>
      <c r="N12" s="99"/>
      <c r="O12" s="417"/>
    </row>
    <row r="13" spans="1:15" ht="21.75">
      <c r="A13" s="327"/>
      <c r="B13" s="397" t="s">
        <v>394</v>
      </c>
      <c r="C13" s="159">
        <v>22.2</v>
      </c>
      <c r="D13" s="185" t="s">
        <v>181</v>
      </c>
      <c r="E13" s="413">
        <v>80</v>
      </c>
      <c r="F13" s="159">
        <f t="shared" si="0"/>
        <v>1776</v>
      </c>
      <c r="G13" s="313">
        <v>75</v>
      </c>
      <c r="H13" s="159">
        <f t="shared" si="1"/>
        <v>1665</v>
      </c>
      <c r="I13" s="159">
        <f t="shared" si="2"/>
        <v>3441</v>
      </c>
      <c r="L13" s="415"/>
      <c r="M13" s="416"/>
      <c r="N13" s="99"/>
      <c r="O13" s="417"/>
    </row>
    <row r="14" spans="1:9" ht="21.75">
      <c r="A14" s="327"/>
      <c r="B14" s="328" t="s">
        <v>624</v>
      </c>
      <c r="C14" s="204">
        <v>74.4</v>
      </c>
      <c r="D14" s="205" t="s">
        <v>183</v>
      </c>
      <c r="E14" s="414">
        <v>550</v>
      </c>
      <c r="F14" s="204">
        <f t="shared" si="0"/>
        <v>40920</v>
      </c>
      <c r="G14" s="418">
        <v>190</v>
      </c>
      <c r="H14" s="204">
        <f t="shared" si="1"/>
        <v>14136.000000000002</v>
      </c>
      <c r="I14" s="204">
        <f t="shared" si="2"/>
        <v>55056</v>
      </c>
    </row>
    <row r="15" spans="1:9" ht="21.75" customHeight="1">
      <c r="A15" s="327"/>
      <c r="B15" s="328" t="s">
        <v>569</v>
      </c>
      <c r="C15" s="204">
        <v>60.35</v>
      </c>
      <c r="D15" s="205" t="s">
        <v>183</v>
      </c>
      <c r="E15" s="414">
        <v>70</v>
      </c>
      <c r="F15" s="204">
        <f t="shared" si="0"/>
        <v>4224.5</v>
      </c>
      <c r="G15" s="418">
        <v>30</v>
      </c>
      <c r="H15" s="204">
        <f t="shared" si="1"/>
        <v>1810.5</v>
      </c>
      <c r="I15" s="204">
        <f t="shared" si="2"/>
        <v>6035</v>
      </c>
    </row>
    <row r="16" spans="1:9" ht="21.75">
      <c r="A16" s="327"/>
      <c r="B16" s="287" t="s">
        <v>393</v>
      </c>
      <c r="C16" s="159">
        <v>1</v>
      </c>
      <c r="D16" s="185" t="s">
        <v>76</v>
      </c>
      <c r="E16" s="413">
        <v>800</v>
      </c>
      <c r="F16" s="159">
        <f t="shared" si="0"/>
        <v>800</v>
      </c>
      <c r="G16" s="419">
        <v>300</v>
      </c>
      <c r="H16" s="159">
        <f t="shared" si="1"/>
        <v>300</v>
      </c>
      <c r="I16" s="159">
        <f t="shared" si="2"/>
        <v>1100</v>
      </c>
    </row>
    <row r="17" spans="1:9" ht="21.75">
      <c r="A17" s="327"/>
      <c r="B17" s="287" t="s">
        <v>542</v>
      </c>
      <c r="C17" s="156">
        <v>1</v>
      </c>
      <c r="D17" s="182" t="s">
        <v>76</v>
      </c>
      <c r="E17" s="413">
        <v>1500</v>
      </c>
      <c r="F17" s="159">
        <f>+C17*E17</f>
        <v>1500</v>
      </c>
      <c r="G17" s="419">
        <v>300</v>
      </c>
      <c r="H17" s="159">
        <f>+G17*C17</f>
        <v>300</v>
      </c>
      <c r="I17" s="159">
        <f>+F17+H17</f>
        <v>1800</v>
      </c>
    </row>
    <row r="18" spans="1:9" ht="21.75">
      <c r="A18" s="327"/>
      <c r="B18" s="287" t="s">
        <v>547</v>
      </c>
      <c r="C18" s="156">
        <v>1</v>
      </c>
      <c r="D18" s="182" t="s">
        <v>76</v>
      </c>
      <c r="E18" s="413">
        <v>0</v>
      </c>
      <c r="F18" s="159">
        <f>+C18*E18</f>
        <v>0</v>
      </c>
      <c r="G18" s="419">
        <v>35000</v>
      </c>
      <c r="H18" s="159">
        <f>+G18*C18</f>
        <v>35000</v>
      </c>
      <c r="I18" s="159">
        <f>+F18+H18</f>
        <v>35000</v>
      </c>
    </row>
    <row r="19" spans="1:9" ht="21.75">
      <c r="A19" s="420"/>
      <c r="B19" s="287" t="s">
        <v>588</v>
      </c>
      <c r="C19" s="156">
        <v>1</v>
      </c>
      <c r="D19" s="182" t="s">
        <v>76</v>
      </c>
      <c r="E19" s="413">
        <v>800</v>
      </c>
      <c r="F19" s="159">
        <f>+C19*E19</f>
        <v>800</v>
      </c>
      <c r="G19" s="419">
        <v>500</v>
      </c>
      <c r="H19" s="159">
        <f>+G19*C19</f>
        <v>500</v>
      </c>
      <c r="I19" s="159">
        <f>+F19+H19</f>
        <v>1300</v>
      </c>
    </row>
    <row r="20" spans="1:10" ht="21.75">
      <c r="A20" s="225"/>
      <c r="B20" s="421" t="s">
        <v>745</v>
      </c>
      <c r="C20" s="369"/>
      <c r="D20" s="349"/>
      <c r="E20" s="422"/>
      <c r="F20" s="423">
        <f>SUM(F7:F19)</f>
        <v>291455.5</v>
      </c>
      <c r="G20" s="369"/>
      <c r="H20" s="423">
        <f>SUM(H7:H19)</f>
        <v>117662.65</v>
      </c>
      <c r="I20" s="423">
        <f>SUM(I7:I19)</f>
        <v>409118.15</v>
      </c>
      <c r="J20" s="576"/>
    </row>
  </sheetData>
  <sheetProtection/>
  <mergeCells count="10">
    <mergeCell ref="A4:A5"/>
    <mergeCell ref="B4:B5"/>
    <mergeCell ref="C4:C5"/>
    <mergeCell ref="A2:I2"/>
    <mergeCell ref="A3:I3"/>
    <mergeCell ref="A1:I1"/>
    <mergeCell ref="D4:D5"/>
    <mergeCell ref="E4:F4"/>
    <mergeCell ref="G4:H4"/>
    <mergeCell ref="I4:I5"/>
  </mergeCells>
  <printOptions/>
  <pageMargins left="0.2755905511811024" right="0.11811023622047245" top="0.984251968503937" bottom="0.984251968503937" header="0.3937007874015748" footer="0.5118110236220472"/>
  <pageSetup horizontalDpi="600" verticalDpi="600" orientation="landscape" paperSize="9" scale="79" r:id="rId2"/>
  <headerFooter alignWithMargins="0">
    <oddHeader>&amp;L&amp;"TH Sarabun New,Regular"&amp;12รายละเอียดบัญชีแสดงปริมาณวัสดุ แรงงาน และประมาณราคาค่าก่อสร้าง&amp;R&amp;"TH Sarabun New,Regular"&amp;12ปร.4  &amp;P / &amp;N</oddHeader>
    <oddFooter>&amp;L&amp;"TH Sarabun New,Regular"&amp;12หมายเหตุ บัญชีปริมาณงานฉบับนี้ผู้เสนอราคาจะต้องตรวจสอบรายละเอียดจากแบบรูปรายการโดยละเอียดอีกครั้ง หากปรากฏภายหลังว่าบัญชีปริมาณงานกับแบบรูปรายการขัดแย้งกัน ให้ยึดตามแบบรูปรายการ หรือคำวินิจฉัยของผู้ว่าจ้าง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7"/>
  <dimension ref="A1:I16"/>
  <sheetViews>
    <sheetView view="pageBreakPreview" zoomScale="89" zoomScaleSheetLayoutView="89" workbookViewId="0" topLeftCell="A1">
      <selection activeCell="D29" sqref="D29"/>
    </sheetView>
  </sheetViews>
  <sheetFormatPr defaultColWidth="11.140625" defaultRowHeight="21.75"/>
  <cols>
    <col min="1" max="1" width="8.140625" style="73" customWidth="1"/>
    <col min="2" max="2" width="56.421875" style="69" customWidth="1"/>
    <col min="3" max="3" width="10.8515625" style="74" customWidth="1"/>
    <col min="4" max="4" width="10.8515625" style="73" customWidth="1"/>
    <col min="5" max="5" width="11.8515625" style="74" customWidth="1"/>
    <col min="6" max="6" width="14.8515625" style="74" customWidth="1"/>
    <col min="7" max="7" width="11.8515625" style="74" customWidth="1"/>
    <col min="8" max="8" width="14.8515625" style="74" customWidth="1"/>
    <col min="9" max="9" width="15.8515625" style="74" customWidth="1"/>
    <col min="10" max="10" width="20.421875" style="69" customWidth="1"/>
    <col min="11" max="16384" width="11.140625" style="69" customWidth="1"/>
  </cols>
  <sheetData>
    <row r="1" spans="1:9" ht="21.75">
      <c r="A1" s="719" t="s">
        <v>18</v>
      </c>
      <c r="B1" s="720"/>
      <c r="C1" s="720"/>
      <c r="D1" s="720"/>
      <c r="E1" s="720"/>
      <c r="F1" s="720"/>
      <c r="G1" s="720"/>
      <c r="H1" s="720"/>
      <c r="I1" s="721"/>
    </row>
    <row r="2" spans="1:9" ht="21.75">
      <c r="A2" s="722" t="str">
        <f>(สรุป!A2)</f>
        <v>ปรับปรุงศูนย์เวชศาสตร์ฟื้นฟูและดูแลผู้สูงวัย</v>
      </c>
      <c r="B2" s="723"/>
      <c r="C2" s="723"/>
      <c r="D2" s="723"/>
      <c r="E2" s="723"/>
      <c r="F2" s="723"/>
      <c r="G2" s="723"/>
      <c r="H2" s="723"/>
      <c r="I2" s="724"/>
    </row>
    <row r="3" spans="1:9" ht="21.75">
      <c r="A3" s="725" t="str">
        <f>(สรุป!A3)</f>
        <v>มหาวิทยาลัยราชภัฏอุตรดิตถ์</v>
      </c>
      <c r="B3" s="726"/>
      <c r="C3" s="726"/>
      <c r="D3" s="726"/>
      <c r="E3" s="726"/>
      <c r="F3" s="726"/>
      <c r="G3" s="726"/>
      <c r="H3" s="726"/>
      <c r="I3" s="727"/>
    </row>
    <row r="4" spans="1:9" ht="21.75">
      <c r="A4" s="728" t="s">
        <v>0</v>
      </c>
      <c r="B4" s="729" t="s">
        <v>1</v>
      </c>
      <c r="C4" s="695" t="s">
        <v>2</v>
      </c>
      <c r="D4" s="699" t="s">
        <v>3</v>
      </c>
      <c r="E4" s="716" t="s">
        <v>4</v>
      </c>
      <c r="F4" s="717"/>
      <c r="G4" s="718" t="s">
        <v>5</v>
      </c>
      <c r="H4" s="717"/>
      <c r="I4" s="695" t="s">
        <v>6</v>
      </c>
    </row>
    <row r="5" spans="1:9" ht="21.75">
      <c r="A5" s="700"/>
      <c r="B5" s="702"/>
      <c r="C5" s="703"/>
      <c r="D5" s="700"/>
      <c r="E5" s="70" t="s">
        <v>7</v>
      </c>
      <c r="F5" s="70" t="s">
        <v>8</v>
      </c>
      <c r="G5" s="70" t="s">
        <v>7</v>
      </c>
      <c r="H5" s="70" t="s">
        <v>8</v>
      </c>
      <c r="I5" s="703"/>
    </row>
    <row r="6" spans="1:9" ht="21.75">
      <c r="A6" s="189">
        <v>5</v>
      </c>
      <c r="B6" s="190" t="s">
        <v>539</v>
      </c>
      <c r="C6" s="93"/>
      <c r="D6" s="191"/>
      <c r="E6" s="93"/>
      <c r="F6" s="93"/>
      <c r="G6" s="93"/>
      <c r="H6" s="93"/>
      <c r="I6" s="93"/>
    </row>
    <row r="7" spans="1:9" ht="21.75">
      <c r="A7" s="95">
        <v>5.01</v>
      </c>
      <c r="B7" s="94" t="s">
        <v>97</v>
      </c>
      <c r="C7" s="90"/>
      <c r="D7" s="89"/>
      <c r="E7" s="90"/>
      <c r="F7" s="90"/>
      <c r="G7" s="90"/>
      <c r="H7" s="90"/>
      <c r="I7" s="90"/>
    </row>
    <row r="8" spans="1:9" ht="21.75">
      <c r="A8" s="92"/>
      <c r="B8" s="87" t="s">
        <v>98</v>
      </c>
      <c r="C8" s="96">
        <v>4</v>
      </c>
      <c r="D8" s="97" t="s">
        <v>3</v>
      </c>
      <c r="E8" s="97">
        <v>0</v>
      </c>
      <c r="F8" s="96">
        <f aca="true" t="shared" si="0" ref="F8:F13">+C8*E8</f>
        <v>0</v>
      </c>
      <c r="G8" s="98">
        <v>8000</v>
      </c>
      <c r="H8" s="96">
        <f aca="true" t="shared" si="1" ref="H8:H13">+G8*C8</f>
        <v>32000</v>
      </c>
      <c r="I8" s="96">
        <f aca="true" t="shared" si="2" ref="I8:I13">+F8+H8</f>
        <v>32000</v>
      </c>
    </row>
    <row r="9" spans="1:9" ht="21.75">
      <c r="A9" s="92"/>
      <c r="B9" s="87" t="s">
        <v>219</v>
      </c>
      <c r="C9" s="96">
        <v>48</v>
      </c>
      <c r="D9" s="97" t="s">
        <v>96</v>
      </c>
      <c r="E9" s="96">
        <v>420</v>
      </c>
      <c r="F9" s="96">
        <f t="shared" si="0"/>
        <v>20160</v>
      </c>
      <c r="G9" s="98">
        <v>180</v>
      </c>
      <c r="H9" s="96">
        <f t="shared" si="1"/>
        <v>8640</v>
      </c>
      <c r="I9" s="96">
        <f t="shared" si="2"/>
        <v>28800</v>
      </c>
    </row>
    <row r="10" spans="1:9" ht="21.75">
      <c r="A10" s="92"/>
      <c r="B10" s="87" t="s">
        <v>99</v>
      </c>
      <c r="C10" s="96">
        <v>54</v>
      </c>
      <c r="D10" s="97" t="s">
        <v>78</v>
      </c>
      <c r="E10" s="96">
        <v>240</v>
      </c>
      <c r="F10" s="96">
        <f t="shared" si="0"/>
        <v>12960</v>
      </c>
      <c r="G10" s="98">
        <v>65</v>
      </c>
      <c r="H10" s="96">
        <f t="shared" si="1"/>
        <v>3510</v>
      </c>
      <c r="I10" s="96">
        <f t="shared" si="2"/>
        <v>16470</v>
      </c>
    </row>
    <row r="11" spans="1:9" ht="21.75">
      <c r="A11" s="92"/>
      <c r="B11" s="87" t="s">
        <v>100</v>
      </c>
      <c r="C11" s="96">
        <v>6</v>
      </c>
      <c r="D11" s="97" t="s">
        <v>182</v>
      </c>
      <c r="E11" s="96">
        <v>1800</v>
      </c>
      <c r="F11" s="96">
        <f t="shared" si="0"/>
        <v>10800</v>
      </c>
      <c r="G11" s="98">
        <v>450</v>
      </c>
      <c r="H11" s="96">
        <f t="shared" si="1"/>
        <v>2700</v>
      </c>
      <c r="I11" s="96">
        <f t="shared" si="2"/>
        <v>13500</v>
      </c>
    </row>
    <row r="12" spans="1:9" ht="21.75">
      <c r="A12" s="92"/>
      <c r="B12" s="87" t="s">
        <v>102</v>
      </c>
      <c r="C12" s="96">
        <v>18</v>
      </c>
      <c r="D12" s="97" t="s">
        <v>182</v>
      </c>
      <c r="E12" s="96">
        <v>650</v>
      </c>
      <c r="F12" s="96">
        <f t="shared" si="0"/>
        <v>11700</v>
      </c>
      <c r="G12" s="98">
        <v>250</v>
      </c>
      <c r="H12" s="96">
        <f t="shared" si="1"/>
        <v>4500</v>
      </c>
      <c r="I12" s="96">
        <f t="shared" si="2"/>
        <v>16200</v>
      </c>
    </row>
    <row r="13" spans="1:9" ht="21.75">
      <c r="A13" s="92"/>
      <c r="B13" s="87" t="s">
        <v>103</v>
      </c>
      <c r="C13" s="96">
        <v>1</v>
      </c>
      <c r="D13" s="97" t="s">
        <v>94</v>
      </c>
      <c r="E13" s="96">
        <v>2000</v>
      </c>
      <c r="F13" s="96">
        <f t="shared" si="0"/>
        <v>2000</v>
      </c>
      <c r="G13" s="98">
        <v>1500</v>
      </c>
      <c r="H13" s="96">
        <f t="shared" si="1"/>
        <v>1500</v>
      </c>
      <c r="I13" s="96">
        <f t="shared" si="2"/>
        <v>3500</v>
      </c>
    </row>
    <row r="14" spans="1:9" ht="21.75">
      <c r="A14" s="92"/>
      <c r="B14" s="87"/>
      <c r="C14" s="96"/>
      <c r="D14" s="97"/>
      <c r="E14" s="96"/>
      <c r="F14" s="96"/>
      <c r="G14" s="98"/>
      <c r="H14" s="96"/>
      <c r="I14" s="96"/>
    </row>
    <row r="15" spans="1:9" ht="21.75">
      <c r="A15" s="92"/>
      <c r="B15" s="87"/>
      <c r="C15" s="96"/>
      <c r="D15" s="97"/>
      <c r="E15" s="96"/>
      <c r="F15" s="96"/>
      <c r="G15" s="98"/>
      <c r="H15" s="96"/>
      <c r="I15" s="96"/>
    </row>
    <row r="16" spans="1:9" ht="21.75">
      <c r="A16" s="218"/>
      <c r="B16" s="215" t="s">
        <v>540</v>
      </c>
      <c r="C16" s="179"/>
      <c r="D16" s="192"/>
      <c r="E16" s="179"/>
      <c r="F16" s="193">
        <f>SUM(F8:F13)</f>
        <v>57620</v>
      </c>
      <c r="G16" s="179"/>
      <c r="H16" s="193">
        <f>SUM(H8:H13)</f>
        <v>52850</v>
      </c>
      <c r="I16" s="193">
        <f>SUM(I8:I13)</f>
        <v>110470</v>
      </c>
    </row>
  </sheetData>
  <sheetProtection/>
  <mergeCells count="10">
    <mergeCell ref="C4:C5"/>
    <mergeCell ref="D4:D5"/>
    <mergeCell ref="E4:F4"/>
    <mergeCell ref="G4:H4"/>
    <mergeCell ref="I4:I5"/>
    <mergeCell ref="A1:I1"/>
    <mergeCell ref="A2:I2"/>
    <mergeCell ref="A3:I3"/>
    <mergeCell ref="A4:A5"/>
    <mergeCell ref="B4:B5"/>
  </mergeCells>
  <printOptions/>
  <pageMargins left="0.2755905511811024" right="0.11811023622047245" top="0.984251968503937" bottom="0.984251968503937" header="0.3937007874015748" footer="0.5118110236220472"/>
  <pageSetup horizontalDpi="600" verticalDpi="600" orientation="landscape" paperSize="9" r:id="rId2"/>
  <headerFooter alignWithMargins="0">
    <oddHeader>&amp;L&amp;"TH Sarabun New,Regular"รายละเอียดบัญชีแสดงปริมาณวัสดุ แรงงาน และประมาณราคาค่าก่อสร้าง&amp;R&amp;"TH Sarabun New,Regular"ปร.4  &amp;P / &amp;N</oddHeader>
    <oddFooter>&amp;L&amp;"TH Sarabun New,Regular"&amp;12หมายเหตุ บัญชีปริมาณงานฉบับนี้ผู้เสนอราคาจะต้องตรวจสอบรายละเอียดจากแบบรูปรายการโดยละเอียดอีกครั้ง หากปรากฏภายหลังว่าบัญชีปริมาณงานกับแบบรูปรายการขัดแย้งกัน ให้ยึดตามแบบรูปรายการ หรือคำวินิจฉัยของผู้ว่าจ้าง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CIVIL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NANG</dc:creator>
  <cp:keywords/>
  <dc:description/>
  <cp:lastModifiedBy>OWNER</cp:lastModifiedBy>
  <cp:lastPrinted>2024-01-29T04:19:16Z</cp:lastPrinted>
  <dcterms:created xsi:type="dcterms:W3CDTF">2000-06-22T14:55:11Z</dcterms:created>
  <dcterms:modified xsi:type="dcterms:W3CDTF">2024-01-29T04:20:43Z</dcterms:modified>
  <cp:category/>
  <cp:version/>
  <cp:contentType/>
  <cp:contentStatus/>
</cp:coreProperties>
</file>