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745" tabRatio="651" activeTab="2"/>
  </bookViews>
  <sheets>
    <sheet name="ปก " sheetId="1" r:id="rId1"/>
    <sheet name="สรุป" sheetId="2" r:id="rId2"/>
    <sheet name="สรุปวัสดุ" sheetId="3" r:id="rId3"/>
    <sheet name="รายละเอียด" sheetId="4" r:id="rId4"/>
    <sheet name="FACTOR F อาคาร" sheetId="5" r:id="rId5"/>
    <sheet name="DATA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4">'FACTOR F อาคาร'!$B$1:$K$74</definedName>
    <definedName name="_xlnm.Print_Area" localSheetId="3">'รายละเอียด'!$A$1:$I$104</definedName>
    <definedName name="_xlnm.Print_Area" localSheetId="1">'สรุป'!$A$1:$I$24</definedName>
    <definedName name="_xlnm.Print_Area" localSheetId="2">'สรุปวัสดุ'!$A$1:$H$17</definedName>
    <definedName name="_xlnm.Print_Titles" localSheetId="3">'รายละเอียด'!$1:$5</definedName>
    <definedName name="_xlnm.Print_Titles">'รายละเอียด'!$1:$2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<sst xmlns="http://schemas.openxmlformats.org/spreadsheetml/2006/main" count="303" uniqueCount="173">
  <si>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</si>
  <si>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</si>
  <si>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</si>
  <si>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</si>
  <si>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</si>
  <si>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</si>
  <si>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</si>
  <si>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</si>
  <si>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</si>
  <si>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</si>
  <si>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</si>
  <si>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</si>
  <si>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</si>
  <si>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</si>
  <si>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</si>
  <si>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</si>
  <si>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</si>
  <si>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จัดทำโดย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</si>
  <si>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</si>
  <si>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</si>
  <si>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</si>
  <si>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</si>
  <si>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ค่าวัสดุ + ค่าแรงงาน</t>
  </si>
  <si>
    <t>สัดส่วน</t>
  </si>
  <si>
    <t>ค่าใช้จ่ายในการดำเนินงานก่อสร้าง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</si>
  <si>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</si>
  <si>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</si>
  <si>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</si>
  <si>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</si>
  <si>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ล้านบาท</t>
  </si>
  <si>
    <t>ค่าดอกเบี้ย</t>
  </si>
  <si>
    <t>ค่ากำไร</t>
  </si>
  <si>
    <t>ตาราง  Factor  F   งานก่อสร้างอาคาร</t>
  </si>
  <si>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</si>
  <si>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</si>
  <si>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</si>
  <si>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</si>
  <si>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</si>
  <si>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ค่าภาษีมูลค่าเพิ่ม(VAT)</t>
  </si>
  <si>
    <t>Factor  F</t>
  </si>
  <si>
    <t>ค่างาน (ทุน)</t>
  </si>
  <si>
    <t>รวมในรูป</t>
  </si>
  <si>
    <t>ภาษีมูลค่าเพิ่ม</t>
  </si>
  <si>
    <t>ค่า</t>
  </si>
  <si>
    <t>Factor</t>
  </si>
  <si>
    <t xml:space="preserve">(VAT) </t>
  </si>
  <si>
    <t>อำนวยการ</t>
  </si>
  <si>
    <t>ดอกเบี้ย</t>
  </si>
  <si>
    <t>กำไร</t>
  </si>
  <si>
    <t>ค่าใช้จ่าย</t>
  </si>
  <si>
    <t>ทุนสูง</t>
  </si>
  <si>
    <t>ทุนต่ำ</t>
  </si>
  <si>
    <t>ราคาประเมินงานก่อสร้างอาคาร</t>
  </si>
  <si>
    <t>น้อยกว่า</t>
  </si>
  <si>
    <t>มากกว่า</t>
  </si>
  <si>
    <t>1. กรณีค่างานอยู่ระหว่างช่วงของค่างานต้นทุนที่กำหนด   ให้เทียบอัตราส่วนเพื่อหาค่า  Factor F</t>
  </si>
  <si>
    <t>2. ถ้าเป็นงานเงินกู้    ให้ใช้ Factor F  ในช่อง  "รวมในรูป Factor"</t>
  </si>
  <si>
    <t>สรุปผลการคำนวณหาค่า FACTOR F ที่ ราคาประเมินค่าก่อสร้าง</t>
  </si>
  <si>
    <t>สรุป</t>
  </si>
  <si>
    <t>ตารางคำนวนหาค่า  Factor  F  งานก่อสร้างอาคาร</t>
  </si>
  <si>
    <t>ค่าอำนวยการ</t>
  </si>
  <si>
    <t>ภาษีมูลค่าเพิ่ม (VAT)</t>
  </si>
  <si>
    <t>-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</si>
  <si>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</si>
  <si>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</si>
  <si>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</si>
  <si>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</si>
  <si>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>รวมค่าในรูป FACTOR F</t>
  </si>
  <si>
    <t xml:space="preserve">    รวมราคาค่าวัสดุและแรงงาน</t>
  </si>
  <si>
    <t>รวมค่าใช้จ่ายในการก่อสร้างอื่น ๆ</t>
  </si>
  <si>
    <t>Factor F</t>
  </si>
  <si>
    <t>(รายการที่ 1) x Factor F</t>
  </si>
  <si>
    <t>(รายการที่ 2) + (รายการที่ 3)</t>
  </si>
  <si>
    <t xml:space="preserve">  </t>
  </si>
  <si>
    <t>กองนโยบายและแผน</t>
  </si>
  <si>
    <t xml:space="preserve">ราคาค่าก่อสร้างเป็นเงินทั้งสิ้น </t>
  </si>
  <si>
    <t>ตร.ม.</t>
  </si>
  <si>
    <t>รวมราคางาน</t>
  </si>
  <si>
    <t>บัญชีแสดงปริมาณวัสดุ แรงงาน และประมาณราคาค่าก่อสร้าง</t>
  </si>
  <si>
    <t>ม.</t>
  </si>
  <si>
    <t>สีกันสนิม</t>
  </si>
  <si>
    <t>กันยายน 2559</t>
  </si>
  <si>
    <t>งาน</t>
  </si>
  <si>
    <t>กก.</t>
  </si>
  <si>
    <t>เหล็กแผ่น หนา 25 มม.</t>
  </si>
  <si>
    <t>ตัว</t>
  </si>
  <si>
    <t xml:space="preserve">เหล็ก Cabon Steel Pipe Ø 318.5x9 mm.x68.7 kg./m. </t>
  </si>
  <si>
    <t xml:space="preserve">เหล็ก Cabon Steel Pipe Ø 139.8x4 mm.x13.4 kg./m. </t>
  </si>
  <si>
    <t xml:space="preserve">เหล็ก Cabon Steel Pipe Ø 101.6x4 mm.x9.63 kg./m. </t>
  </si>
  <si>
    <t>เหล็กกล่อง 50x50x2.3 mm.x3.34 kg./m. @ 1.0x1.0 ม.</t>
  </si>
  <si>
    <t xml:space="preserve">หลังคา Metal Sheet เคลือบสี หนา 0.35 มม. </t>
  </si>
  <si>
    <t>งานระบบไฟฟ้า</t>
  </si>
  <si>
    <t>สีน้ำมัน</t>
  </si>
  <si>
    <t>ท่อน</t>
  </si>
  <si>
    <t>เต้ารับไฟฟ้าแบบคู่ ขากลม-แบน  16A. 250V. มีกราวด์พร้อมหน้ากากและฝาปิดกันน้ำ</t>
  </si>
  <si>
    <t>ท่อ PVC. ร้อยสายไฟ 1/2" (สีเหลือง)</t>
  </si>
  <si>
    <t>งานรื้อระบบไฟฟ้าเดิม</t>
  </si>
  <si>
    <t>Accessories</t>
  </si>
  <si>
    <t>ชุด</t>
  </si>
  <si>
    <t>งานเสริมความแข็งแรงโครงสร้าง</t>
  </si>
  <si>
    <t>ต้น</t>
  </si>
  <si>
    <t>ตัดหัวเข็ม</t>
  </si>
  <si>
    <t xml:space="preserve">ค่าทดสอบเสาเข็มวิธี Seismics </t>
  </si>
  <si>
    <t>รื้อพื้นคอนกรีตเดิม</t>
  </si>
  <si>
    <t>ลบ.ม.</t>
  </si>
  <si>
    <t>ขุดดินถมคืน</t>
  </si>
  <si>
    <t xml:space="preserve">คอนกรีต st. 240 ksc. </t>
  </si>
  <si>
    <t>เหล็กเส้นข้ออ้อย DB 25 มม.</t>
  </si>
  <si>
    <t>เหล็กเส้นกลม RB 9 มม.</t>
  </si>
  <si>
    <t>แบบหล่อ</t>
  </si>
  <si>
    <t>ค่าแรงแบบหล่อ</t>
  </si>
  <si>
    <t>ลวดผูกเหล็ก</t>
  </si>
  <si>
    <t>ตะปู</t>
  </si>
  <si>
    <t>Wire Mesh Ø 4 มม. @ 0.20 ม.</t>
  </si>
  <si>
    <t>เหล็กแผ่น หนา 10 มม.</t>
  </si>
  <si>
    <t>ฉาบปูนโครงสร้าง</t>
  </si>
  <si>
    <t>ทาสีอะครีลิค 100%</t>
  </si>
  <si>
    <t>เสาเข็มเจาะ Ø 0.35 ม. ยาว 11 ม.</t>
  </si>
  <si>
    <t xml:space="preserve">เหล็ก Cabon Steel Pipe Ø 216.3x4.5 mm.x23.5 kg./m. </t>
  </si>
  <si>
    <t>เหล็กกล่อง 200x100x6.0 mm.x26.40 kg./m.</t>
  </si>
  <si>
    <t>งานหลังคา</t>
  </si>
  <si>
    <t>งานปรับปรุงพื้นสนาม</t>
  </si>
  <si>
    <t>งานโยธาและสถาปัตยกรรม</t>
  </si>
  <si>
    <t>ก่อสร้างหลังคาสนามกีฬาอเนกประสงค์</t>
  </si>
  <si>
    <t xml:space="preserve">เหล็ก Cabon Steel Pipe Ø 165.2x4.5 mm.x17.8 kg./m. </t>
  </si>
  <si>
    <t>ค่าใช้จ่ายพิเศษ</t>
  </si>
  <si>
    <t>เหล็กแผ่น Ø 318.5 มม. หนา 2 มม.</t>
  </si>
  <si>
    <t>เหล็ก Cabon Steel Pipe Ø 318.5x9 mm.x68.7 kg./m. (ส่วนโค้ง)</t>
  </si>
  <si>
    <t>Anchor Rebar Ø 25 mm. ,L=0.50m</t>
  </si>
  <si>
    <t>งานรื้อถอน</t>
  </si>
  <si>
    <t>รื้อโครงสร้าง คสล.</t>
  </si>
  <si>
    <t>รื้อปูนฉาบโครงสร้าง</t>
  </si>
  <si>
    <t xml:space="preserve">คอนกรีต st. 280 ksc. (ทรงลูกบาศก์) </t>
  </si>
  <si>
    <t>ค่าเช่ารถเครน 70 ตัน</t>
  </si>
  <si>
    <t>ค่าเช่ารถเครน 30 ตัน</t>
  </si>
  <si>
    <t>เครื่องสแกนเหล็ก</t>
  </si>
  <si>
    <t>งานอื่นๆ</t>
  </si>
  <si>
    <t>รื้อแป้นบาส</t>
  </si>
  <si>
    <t>รั้วชั่วคราว</t>
  </si>
  <si>
    <t>งานตั้งนั่งร้าน ขนาด 1.7x1.2x1.8 ม.</t>
  </si>
  <si>
    <t>วัน</t>
  </si>
  <si>
    <t>น้ำยาเจาะเสียบเหล็กอีพ็อกซี่ DB 25 มม.(รวมงานเจาะรูโครงสร้าง)</t>
  </si>
  <si>
    <t>น้ำยาเจาะเสียบเหล็กอีพ็อกซี่ RB 9 มม.(รวมงานเจาะรูโครงสร้าง)</t>
  </si>
  <si>
    <t>HIGHBAY LED. 200 W.</t>
  </si>
  <si>
    <t>THW-1x2.5Sq.mm. (LIGHTING)</t>
  </si>
  <si>
    <t>THW/G-1x2.5Sq.mm. (LIGHTING)</t>
  </si>
  <si>
    <t>THW -1x4Sq.mm. (OUTLET)</t>
  </si>
  <si>
    <t>THW/G-1x2.5Sq.mm. (OUTLET)</t>
  </si>
  <si>
    <t>รางไวร์เวย์ (Wireway)  2"x4" 2.40m.หนา 1.0mm.</t>
  </si>
  <si>
    <t>ค่าเช่ารถกระเช้า</t>
  </si>
  <si>
    <t xml:space="preserve">3.1 ค่าใช้จ่ายพิเศษและค่าใช้จ่ายอื่นๆที่จำเป็นต้องมี </t>
  </si>
  <si>
    <t>คอนกรีต st. 280 ksc. (ทรงลูกบาศก์) รวมน้ำยาประสานคอนกรีต</t>
  </si>
  <si>
    <t>งานซ่อมแซมสีรั้วพร้อมประตู และโครง Truss B</t>
  </si>
  <si>
    <t>เหล็กกล่อง 50x50x1.6 มม.</t>
  </si>
  <si>
    <t>- เนื่องจากเป็นการก่อสร้างอาคารสูง จึงต้องตั้งนั่งร้านเพื่อปฏิบัติงานและเพื่อความปลอดภัยของผู้ปฏิบัติงาน</t>
  </si>
  <si>
    <t>แผ่นพลาสติกปูพื้นคอนกรีต</t>
  </si>
  <si>
    <t>- ต้องมีการเช่าเครื่องจักรเพื่อปฏิบัติงานยกโครงสร้างที่มีน้ำหนักมาก หรือไม่สะดวกในการตั้งนั่งร้าน</t>
  </si>
  <si>
    <t xml:space="preserve">ตาข่ายเชือก HDPE ขนาดตา 5"x5" เชือกหนา 3 มม. </t>
  </si>
  <si>
    <t>งานพื้นสนามกีฬา ระบบ Polyurethane rubber หนา 2 mm. (รวมงานตีเส้นสนามกีฬา)</t>
  </si>
  <si>
    <t>พื้นผิวขัดปั่นเงา (รวมงานบ่มคอนกรีตและกรีดร่องพื้น)</t>
  </si>
  <si>
    <t>ต.ท่าอิฐ อ.เมือง จ.อุตรดิตถ์</t>
  </si>
  <si>
    <t>งานพื้นรอบสนามกีฬา ระบบ Polyurethane Hardcourt หนา 2 mm.  (รวมงานตีเส้นขอบสนาม)</t>
  </si>
  <si>
    <t>งานทาสีท่อ PVC.</t>
  </si>
  <si>
    <t>แป้นบาสอะครีลิคพร้อมห่วงและอุปกรณ์ประกอบครบชุด</t>
  </si>
  <si>
    <t>HIGHBAY LED. 150 W.</t>
  </si>
  <si>
    <t>- หลังคาสูงประมาณ 12 ม. ใช้นั่งร้านความสูง 1.7 ม./ชุด ,จำนวน 7 ชุด/แถว ,ติดตั้ง 6 แถว = 7x6 = 42 ชุด</t>
  </si>
  <si>
    <t xml:space="preserve">  ค่าเช่านั่งร้าน  15 บาท/ชุด/วัน  = 42 ชุดx15 บาท = 630 บาท/วัน</t>
  </si>
  <si>
    <t>ตัดแต่ง ทอนกิ่ง ตัดลำต้น ต้นไม้</t>
  </si>
  <si>
    <t>Flashing</t>
  </si>
  <si>
    <t>รื้อแผ่นปิดจั่วพร้อมโครงเคร่า และ Flashing พร้อมติดตั้งโครงเคร่าตำแหน่งใหม่</t>
  </si>
  <si>
    <t>รื้อรั้วและป้ายพร้อมติดตั้งกลับ</t>
  </si>
  <si>
    <t>ค่าติดตั้ง รื้อถอน และขนย้าย นั่งร้าน</t>
  </si>
  <si>
    <t xml:space="preserve">ปิดข้างและปิดจั่ว แผ่น Metal Sheet เคลือบสี หนา 0.35 มม.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</si>
</sst>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80" formatCode="0.0"/>
    <numFmt numFmtId="182" formatCode="0.0000"/>
    <numFmt numFmtId="183" formatCode="#,##0.0000"/>
    <numFmt numFmtId="195" formatCode="0.000"/>
    <numFmt numFmtId="201" formatCode="_-* #,##0.0000_-;\-* #,##0.0000_-;_-* &quot;-&quot;??_-;_-@_-"/>
    <numFmt numFmtId="227" formatCode="[$-41E]General"/>
    <numFmt numFmtId="228" formatCode="_-* #,##0.00_-;\-* #,##0.00_-;_-* \-??_-;_-@_-"/>
  </numFmts>
  <fonts count="43">
    <font>
      <sz val="14"/>
      <name val="Cordia New"/>
      <family val="0"/>
    </font>
    <font>
      <b/>
      <sz val="16"/>
      <name val="BrowalliaUPC"/>
      <family val="2"/>
    </font>
    <font>
      <sz val="14"/>
      <name val="BrowalliaUPC"/>
      <family val="2"/>
    </font>
    <font>
      <b/>
      <sz val="14"/>
      <name val="BrowalliaUPC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BrowalliaUPC"/>
      <family val="2"/>
    </font>
    <font>
      <b/>
      <sz val="14"/>
      <color indexed="10"/>
      <name val="BrowalliaUPC"/>
      <family val="2"/>
    </font>
    <font>
      <sz val="14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b/>
      <sz val="18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4"/>
      <color indexed="8"/>
      <name val="Cordia New"/>
      <family val="2"/>
    </font>
    <font>
      <sz val="11"/>
      <color indexed="52"/>
      <name val="Calibri"/>
      <family val="2"/>
    </font>
    <font>
      <sz val="14"/>
      <color theme="1"/>
      <name val="Cordia New"/>
      <family val="2"/>
    </font>
    <font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7" fontId="41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42" fillId="0" borderId="3" applyNumberFormat="0" applyFill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17" borderId="4" applyNumberFormat="0" applyAlignment="0" applyProtection="0"/>
    <xf numFmtId="0" fontId="12" fillId="17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0" fillId="7" borderId="5" applyNumberFormat="0" applyAlignment="0" applyProtection="0"/>
    <xf numFmtId="0" fontId="21" fillId="18" borderId="0" applyNumberFormat="0" applyBorder="0" applyAlignment="0" applyProtection="0"/>
    <xf numFmtId="0" fontId="22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9" fillId="0" borderId="0" xfId="61" applyFont="1" applyFill="1">
      <alignment/>
      <protection/>
    </xf>
    <xf numFmtId="0" fontId="29" fillId="0" borderId="0" xfId="61" applyFont="1">
      <alignment/>
      <protection/>
    </xf>
    <xf numFmtId="0" fontId="31" fillId="0" borderId="0" xfId="61" applyFont="1" applyFill="1" applyAlignment="1">
      <alignment/>
      <protection/>
    </xf>
    <xf numFmtId="0" fontId="30" fillId="0" borderId="0" xfId="61" applyFont="1" applyFill="1" applyAlignment="1" applyProtection="1">
      <alignment/>
      <protection locked="0"/>
    </xf>
    <xf numFmtId="0" fontId="28" fillId="0" borderId="0" xfId="61" applyFont="1" applyFill="1" applyAlignment="1">
      <alignment/>
      <protection/>
    </xf>
    <xf numFmtId="0" fontId="33" fillId="0" borderId="0" xfId="61" applyFont="1" applyFill="1">
      <alignment/>
      <protection/>
    </xf>
    <xf numFmtId="0" fontId="34" fillId="0" borderId="0" xfId="61" applyFont="1" applyFill="1" applyAlignment="1">
      <alignment horizontal="center"/>
      <protection/>
    </xf>
    <xf numFmtId="0" fontId="34" fillId="0" borderId="0" xfId="61" applyFont="1" applyFill="1" applyAlignment="1">
      <alignment/>
      <protection/>
    </xf>
    <xf numFmtId="0" fontId="29" fillId="0" borderId="11" xfId="61" applyFont="1" applyFill="1" applyBorder="1">
      <alignment/>
      <protection/>
    </xf>
    <xf numFmtId="0" fontId="0" fillId="24" borderId="0" xfId="58" applyFill="1">
      <alignment/>
      <protection/>
    </xf>
    <xf numFmtId="0" fontId="1" fillId="0" borderId="0" xfId="58" applyFont="1" applyAlignment="1">
      <alignment horizontal="center" vertical="top"/>
      <protection/>
    </xf>
    <xf numFmtId="183" fontId="3" fillId="0" borderId="12" xfId="58" applyNumberFormat="1" applyFont="1" applyBorder="1" applyAlignment="1">
      <alignment horizontal="left" vertical="top"/>
      <protection/>
    </xf>
    <xf numFmtId="0" fontId="3" fillId="0" borderId="12" xfId="58" applyFont="1" applyBorder="1" applyAlignment="1">
      <alignment horizontal="center" vertical="top"/>
      <protection/>
    </xf>
    <xf numFmtId="0" fontId="2" fillId="0" borderId="12" xfId="58" applyFont="1" applyBorder="1" applyAlignment="1">
      <alignment horizontal="center" vertical="top"/>
      <protection/>
    </xf>
    <xf numFmtId="0" fontId="0" fillId="0" borderId="12" xfId="58" applyBorder="1">
      <alignment/>
      <protection/>
    </xf>
    <xf numFmtId="0" fontId="0" fillId="0" borderId="13" xfId="58" applyBorder="1">
      <alignment/>
      <protection/>
    </xf>
    <xf numFmtId="0" fontId="2" fillId="0" borderId="14" xfId="58" applyFont="1" applyBorder="1" applyAlignment="1">
      <alignment vertical="top"/>
      <protection/>
    </xf>
    <xf numFmtId="0" fontId="2" fillId="0" borderId="0" xfId="58" applyFont="1" applyAlignment="1">
      <alignment vertical="top"/>
      <protection/>
    </xf>
    <xf numFmtId="9" fontId="2" fillId="0" borderId="0" xfId="58" applyNumberFormat="1" applyFont="1" applyAlignment="1">
      <alignment horizontal="left" vertical="top"/>
      <protection/>
    </xf>
    <xf numFmtId="9" fontId="2" fillId="0" borderId="0" xfId="58" applyNumberFormat="1" applyFont="1" applyAlignment="1">
      <alignment horizontal="center" vertical="top"/>
      <protection/>
    </xf>
    <xf numFmtId="9" fontId="2" fillId="0" borderId="15" xfId="58" applyNumberFormat="1" applyFont="1" applyBorder="1" applyAlignment="1">
      <alignment horizontal="left" vertical="top"/>
      <protection/>
    </xf>
    <xf numFmtId="0" fontId="2" fillId="0" borderId="16" xfId="58" applyFont="1" applyBorder="1" applyAlignment="1">
      <alignment vertical="top"/>
      <protection/>
    </xf>
    <xf numFmtId="0" fontId="2" fillId="0" borderId="17" xfId="58" applyFont="1" applyBorder="1" applyAlignment="1">
      <alignment vertical="top"/>
      <protection/>
    </xf>
    <xf numFmtId="9" fontId="2" fillId="0" borderId="17" xfId="58" applyNumberFormat="1" applyFont="1" applyBorder="1" applyAlignment="1">
      <alignment horizontal="left" vertical="top"/>
      <protection/>
    </xf>
    <xf numFmtId="9" fontId="2" fillId="0" borderId="17" xfId="58" applyNumberFormat="1" applyFont="1" applyBorder="1" applyAlignment="1">
      <alignment vertical="top"/>
      <protection/>
    </xf>
    <xf numFmtId="0" fontId="2" fillId="0" borderId="18" xfId="58" applyFont="1" applyBorder="1" applyAlignment="1">
      <alignment horizontal="left" vertical="top"/>
      <protection/>
    </xf>
    <xf numFmtId="0" fontId="2" fillId="17" borderId="19" xfId="58" applyFont="1" applyFill="1" applyBorder="1" applyAlignment="1">
      <alignment horizontal="center" vertical="top"/>
      <protection/>
    </xf>
    <xf numFmtId="0" fontId="2" fillId="17" borderId="13" xfId="58" applyFont="1" applyFill="1" applyBorder="1" applyAlignment="1">
      <alignment horizontal="center" vertical="top"/>
      <protection/>
    </xf>
    <xf numFmtId="0" fontId="2" fillId="17" borderId="20" xfId="58" applyFont="1" applyFill="1" applyBorder="1" applyAlignment="1">
      <alignment horizontal="center" vertical="top"/>
      <protection/>
    </xf>
    <xf numFmtId="0" fontId="2" fillId="17" borderId="14" xfId="58" applyFont="1" applyFill="1" applyBorder="1" applyAlignment="1">
      <alignment horizontal="center" vertical="top"/>
      <protection/>
    </xf>
    <xf numFmtId="0" fontId="2" fillId="17" borderId="21" xfId="58" applyFont="1" applyFill="1" applyBorder="1" applyAlignment="1">
      <alignment horizontal="center" vertical="top"/>
      <protection/>
    </xf>
    <xf numFmtId="0" fontId="0" fillId="17" borderId="0" xfId="58" applyFill="1">
      <alignment/>
      <protection/>
    </xf>
    <xf numFmtId="0" fontId="0" fillId="17" borderId="21" xfId="58" applyFill="1" applyBorder="1">
      <alignment/>
      <protection/>
    </xf>
    <xf numFmtId="0" fontId="2" fillId="17" borderId="16" xfId="58" applyFont="1" applyFill="1" applyBorder="1" applyAlignment="1">
      <alignment horizontal="center" vertical="top"/>
      <protection/>
    </xf>
    <xf numFmtId="0" fontId="2" fillId="17" borderId="22" xfId="58" applyFont="1" applyFill="1" applyBorder="1" applyAlignment="1">
      <alignment horizontal="center" vertical="top"/>
      <protection/>
    </xf>
    <xf numFmtId="0" fontId="2" fillId="17" borderId="18" xfId="58" applyFont="1" applyFill="1" applyBorder="1" applyAlignment="1">
      <alignment horizontal="center" vertical="top"/>
      <protection/>
    </xf>
    <xf numFmtId="0" fontId="2" fillId="17" borderId="22" xfId="58" applyFont="1" applyFill="1" applyBorder="1" applyAlignment="1">
      <alignment vertical="top"/>
      <protection/>
    </xf>
    <xf numFmtId="0" fontId="2" fillId="0" borderId="23" xfId="58" applyFont="1" applyBorder="1" applyAlignment="1">
      <alignment horizontal="center" vertical="top"/>
      <protection/>
    </xf>
    <xf numFmtId="182" fontId="2" fillId="0" borderId="23" xfId="58" applyNumberFormat="1" applyFont="1" applyBorder="1" applyAlignment="1">
      <alignment horizontal="center" vertical="top"/>
      <protection/>
    </xf>
    <xf numFmtId="182" fontId="2" fillId="0" borderId="24" xfId="58" applyNumberFormat="1" applyFont="1" applyBorder="1" applyAlignment="1">
      <alignment horizontal="center" vertical="top"/>
      <protection/>
    </xf>
    <xf numFmtId="0" fontId="2" fillId="0" borderId="23" xfId="58" applyFont="1" applyBorder="1" applyAlignment="1">
      <alignment horizontal="center" vertical="center"/>
      <protection/>
    </xf>
    <xf numFmtId="183" fontId="8" fillId="0" borderId="23" xfId="58" applyNumberFormat="1" applyFont="1" applyBorder="1" applyAlignment="1">
      <alignment horizontal="center" vertical="center"/>
      <protection/>
    </xf>
    <xf numFmtId="182" fontId="3" fillId="0" borderId="23" xfId="58" applyNumberFormat="1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top"/>
      <protection/>
    </xf>
    <xf numFmtId="183" fontId="8" fillId="0" borderId="0" xfId="58" applyNumberFormat="1" applyFont="1" applyAlignment="1">
      <alignment horizontal="center" vertical="top"/>
      <protection/>
    </xf>
    <xf numFmtId="182" fontId="3" fillId="0" borderId="0" xfId="58" applyNumberFormat="1" applyFont="1" applyAlignment="1">
      <alignment horizontal="center" vertical="top"/>
      <protection/>
    </xf>
    <xf numFmtId="182" fontId="2" fillId="24" borderId="0" xfId="58" applyNumberFormat="1" applyFont="1" applyFill="1" applyAlignment="1">
      <alignment horizontal="center" vertical="top"/>
      <protection/>
    </xf>
    <xf numFmtId="183" fontId="9" fillId="0" borderId="0" xfId="58" applyNumberFormat="1" applyFont="1" applyAlignment="1">
      <alignment horizontal="center" vertical="top"/>
      <protection/>
    </xf>
    <xf numFmtId="182" fontId="2" fillId="0" borderId="0" xfId="58" applyNumberFormat="1" applyFont="1" applyAlignment="1">
      <alignment horizontal="center" vertical="top"/>
      <protection/>
    </xf>
    <xf numFmtId="0" fontId="3" fillId="0" borderId="0" xfId="58" applyFont="1" applyAlignment="1">
      <alignment horizontal="left" vertical="top"/>
      <protection/>
    </xf>
    <xf numFmtId="3" fontId="3" fillId="0" borderId="0" xfId="58" applyNumberFormat="1" applyFont="1" applyAlignment="1">
      <alignment horizontal="right" vertical="top"/>
      <protection/>
    </xf>
    <xf numFmtId="0" fontId="2" fillId="0" borderId="0" xfId="58" applyFont="1" applyAlignment="1">
      <alignment horizontal="right" vertical="center"/>
      <protection/>
    </xf>
    <xf numFmtId="182" fontId="2" fillId="0" borderId="0" xfId="58" applyNumberFormat="1" applyFont="1" applyAlignment="1">
      <alignment horizontal="left" vertical="center"/>
      <protection/>
    </xf>
    <xf numFmtId="182" fontId="2" fillId="0" borderId="0" xfId="58" applyNumberFormat="1" applyFont="1" applyAlignment="1">
      <alignment horizontal="center" vertical="center"/>
      <protection/>
    </xf>
    <xf numFmtId="182" fontId="3" fillId="0" borderId="0" xfId="58" applyNumberFormat="1" applyFont="1" applyAlignment="1">
      <alignment horizontal="right" vertical="center"/>
      <protection/>
    </xf>
    <xf numFmtId="182" fontId="3" fillId="0" borderId="0" xfId="58" applyNumberFormat="1" applyFont="1" applyAlignment="1">
      <alignment horizontal="center" vertical="center"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Alignment="1">
      <alignment horizontal="left"/>
      <protection/>
    </xf>
    <xf numFmtId="182" fontId="2" fillId="0" borderId="0" xfId="58" applyNumberFormat="1" applyFont="1">
      <alignment/>
      <protection/>
    </xf>
    <xf numFmtId="195" fontId="2" fillId="0" borderId="0" xfId="58" applyNumberFormat="1" applyFont="1">
      <alignment/>
      <protection/>
    </xf>
    <xf numFmtId="9" fontId="2" fillId="0" borderId="0" xfId="58" applyNumberFormat="1" applyFont="1" applyAlignment="1">
      <alignment vertical="top"/>
      <protection/>
    </xf>
    <xf numFmtId="0" fontId="2" fillId="0" borderId="0" xfId="58" applyFont="1" applyAlignment="1">
      <alignment horizontal="left" vertical="top"/>
      <protection/>
    </xf>
    <xf numFmtId="0" fontId="2" fillId="17" borderId="20" xfId="58" applyFont="1" applyFill="1" applyBorder="1" applyAlignment="1">
      <alignment vertical="top"/>
      <protection/>
    </xf>
    <xf numFmtId="0" fontId="2" fillId="0" borderId="19" xfId="58" applyFont="1" applyBorder="1" applyAlignment="1">
      <alignment horizontal="center" vertical="top"/>
      <protection/>
    </xf>
    <xf numFmtId="182" fontId="2" fillId="0" borderId="20" xfId="58" applyNumberFormat="1" applyFont="1" applyBorder="1" applyAlignment="1">
      <alignment horizontal="center" vertical="top"/>
      <protection/>
    </xf>
    <xf numFmtId="182" fontId="2" fillId="0" borderId="14" xfId="58" applyNumberFormat="1" applyFont="1" applyBorder="1" applyAlignment="1">
      <alignment horizontal="center" vertical="top"/>
      <protection/>
    </xf>
    <xf numFmtId="182" fontId="2" fillId="0" borderId="19" xfId="58" applyNumberFormat="1" applyFont="1" applyBorder="1" applyAlignment="1">
      <alignment horizontal="center" vertical="top"/>
      <protection/>
    </xf>
    <xf numFmtId="0" fontId="2" fillId="0" borderId="14" xfId="58" applyFont="1" applyBorder="1" applyAlignment="1">
      <alignment horizontal="center" vertical="top"/>
      <protection/>
    </xf>
    <xf numFmtId="182" fontId="2" fillId="0" borderId="21" xfId="58" applyNumberFormat="1" applyFont="1" applyBorder="1" applyAlignment="1">
      <alignment horizontal="center" vertical="top"/>
      <protection/>
    </xf>
    <xf numFmtId="0" fontId="2" fillId="0" borderId="16" xfId="58" applyFont="1" applyBorder="1" applyAlignment="1">
      <alignment horizontal="center" vertical="top"/>
      <protection/>
    </xf>
    <xf numFmtId="0" fontId="2" fillId="0" borderId="17" xfId="58" applyFont="1" applyBorder="1" applyAlignment="1">
      <alignment horizontal="center" vertical="top"/>
      <protection/>
    </xf>
    <xf numFmtId="182" fontId="2" fillId="0" borderId="22" xfId="58" applyNumberFormat="1" applyFont="1" applyBorder="1" applyAlignment="1">
      <alignment horizontal="center" vertical="top"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center" vertical="center"/>
      <protection/>
    </xf>
    <xf numFmtId="0" fontId="2" fillId="24" borderId="0" xfId="58" applyFont="1" applyFill="1">
      <alignment/>
      <protection/>
    </xf>
    <xf numFmtId="0" fontId="36" fillId="0" borderId="0" xfId="0" applyFont="1" applyAlignment="1">
      <alignment/>
    </xf>
    <xf numFmtId="0" fontId="38" fillId="0" borderId="20" xfId="0" applyFont="1" applyFill="1" applyBorder="1" applyAlignment="1">
      <alignment horizontal="center"/>
    </xf>
    <xf numFmtId="171" fontId="38" fillId="0" borderId="19" xfId="53" applyFont="1" applyFill="1" applyBorder="1" applyAlignment="1">
      <alignment horizontal="center"/>
    </xf>
    <xf numFmtId="171" fontId="38" fillId="0" borderId="13" xfId="53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171" fontId="38" fillId="0" borderId="16" xfId="53" applyFont="1" applyFill="1" applyBorder="1" applyAlignment="1">
      <alignment horizontal="right"/>
    </xf>
    <xf numFmtId="171" fontId="38" fillId="0" borderId="23" xfId="53" applyFont="1" applyFill="1" applyBorder="1" applyAlignment="1">
      <alignment horizontal="center"/>
    </xf>
    <xf numFmtId="171" fontId="38" fillId="0" borderId="18" xfId="53" applyFont="1" applyFill="1" applyBorder="1" applyAlignment="1">
      <alignment horizontal="center"/>
    </xf>
    <xf numFmtId="1" fontId="38" fillId="0" borderId="23" xfId="0" applyNumberFormat="1" applyFont="1" applyBorder="1" applyAlignment="1">
      <alignment horizontal="center" vertical="top" wrapText="1"/>
    </xf>
    <xf numFmtId="228" fontId="38" fillId="25" borderId="25" xfId="53" applyNumberFormat="1" applyFont="1" applyFill="1" applyBorder="1" applyAlignment="1" applyProtection="1">
      <alignment horizontal="left" vertical="center" wrapText="1"/>
      <protection/>
    </xf>
    <xf numFmtId="171" fontId="36" fillId="0" borderId="23" xfId="53" applyFont="1" applyFill="1" applyBorder="1" applyAlignment="1">
      <alignment horizontal="right" vertical="top" wrapText="1"/>
    </xf>
    <xf numFmtId="3" fontId="36" fillId="0" borderId="23" xfId="0" applyNumberFormat="1" applyFont="1" applyBorder="1" applyAlignment="1">
      <alignment horizontal="center" vertical="top" wrapText="1"/>
    </xf>
    <xf numFmtId="171" fontId="36" fillId="0" borderId="23" xfId="53" applyFont="1" applyBorder="1" applyAlignment="1">
      <alignment horizontal="right" vertical="top" wrapText="1"/>
    </xf>
    <xf numFmtId="0" fontId="36" fillId="0" borderId="0" xfId="0" applyFont="1" applyAlignment="1">
      <alignment vertical="top" wrapText="1"/>
    </xf>
    <xf numFmtId="180" fontId="36" fillId="0" borderId="23" xfId="0" applyNumberFormat="1" applyFont="1" applyBorder="1" applyAlignment="1">
      <alignment horizontal="center" vertical="top" wrapText="1"/>
    </xf>
    <xf numFmtId="0" fontId="36" fillId="0" borderId="23" xfId="53" applyNumberFormat="1" applyFont="1" applyBorder="1" applyAlignment="1">
      <alignment horizontal="left" vertical="top" wrapText="1"/>
    </xf>
    <xf numFmtId="171" fontId="36" fillId="0" borderId="23" xfId="40" applyFont="1" applyBorder="1" applyAlignment="1">
      <alignment horizontal="right" vertical="top" wrapText="1"/>
    </xf>
    <xf numFmtId="0" fontId="36" fillId="0" borderId="23" xfId="0" applyFont="1" applyBorder="1" applyAlignment="1">
      <alignment horizontal="left" vertical="top" wrapText="1"/>
    </xf>
    <xf numFmtId="171" fontId="36" fillId="0" borderId="23" xfId="40" applyFont="1" applyFill="1" applyBorder="1" applyAlignment="1">
      <alignment horizontal="right" vertical="top" wrapText="1"/>
    </xf>
    <xf numFmtId="0" fontId="36" fillId="0" borderId="23" xfId="0" applyFont="1" applyBorder="1" applyAlignment="1">
      <alignment vertical="top" shrinkToFit="1"/>
    </xf>
    <xf numFmtId="2" fontId="36" fillId="0" borderId="23" xfId="0" applyNumberFormat="1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201" fontId="36" fillId="0" borderId="23" xfId="40" applyNumberFormat="1" applyFont="1" applyBorder="1" applyAlignment="1">
      <alignment horizontal="right" vertical="top" wrapText="1"/>
    </xf>
    <xf numFmtId="171" fontId="38" fillId="0" borderId="23" xfId="40" applyFont="1" applyFill="1" applyBorder="1" applyAlignment="1">
      <alignment horizontal="right" vertical="top" wrapText="1"/>
    </xf>
    <xf numFmtId="0" fontId="38" fillId="0" borderId="23" xfId="0" applyFont="1" applyBorder="1" applyAlignment="1">
      <alignment horizontal="center" vertical="top" wrapText="1"/>
    </xf>
    <xf numFmtId="228" fontId="38" fillId="25" borderId="25" xfId="53" applyNumberFormat="1" applyFont="1" applyFill="1" applyBorder="1" applyAlignment="1" applyProtection="1">
      <alignment horizontal="left" vertical="center"/>
      <protection/>
    </xf>
    <xf numFmtId="0" fontId="36" fillId="0" borderId="23" xfId="0" applyFont="1" applyFill="1" applyBorder="1" applyAlignment="1">
      <alignment horizontal="left" vertical="top" wrapText="1"/>
    </xf>
    <xf numFmtId="3" fontId="36" fillId="0" borderId="23" xfId="0" applyNumberFormat="1" applyFont="1" applyFill="1" applyBorder="1" applyAlignment="1">
      <alignment horizontal="center" vertical="top" wrapText="1"/>
    </xf>
    <xf numFmtId="171" fontId="36" fillId="0" borderId="23" xfId="40" applyFont="1" applyFill="1" applyBorder="1" applyAlignment="1">
      <alignment horizontal="left" vertical="top" wrapText="1"/>
    </xf>
    <xf numFmtId="0" fontId="36" fillId="0" borderId="23" xfId="0" applyFont="1" applyFill="1" applyBorder="1" applyAlignment="1">
      <alignment horizontal="center" vertical="top" wrapText="1"/>
    </xf>
    <xf numFmtId="0" fontId="38" fillId="0" borderId="23" xfId="0" applyFont="1" applyFill="1" applyBorder="1" applyAlignment="1">
      <alignment horizontal="center" vertical="top" wrapText="1"/>
    </xf>
    <xf numFmtId="228" fontId="38" fillId="25" borderId="25" xfId="53" applyNumberFormat="1" applyFont="1" applyFill="1" applyBorder="1" applyAlignment="1" applyProtection="1">
      <alignment horizontal="left"/>
      <protection/>
    </xf>
    <xf numFmtId="0" fontId="36" fillId="0" borderId="23" xfId="0" applyFont="1" applyBorder="1" applyAlignment="1">
      <alignment vertical="top" wrapText="1" shrinkToFit="1"/>
    </xf>
    <xf numFmtId="0" fontId="36" fillId="0" borderId="23" xfId="60" applyFont="1" applyFill="1" applyBorder="1" applyAlignment="1">
      <alignment horizontal="left" vertical="top" wrapText="1"/>
      <protection/>
    </xf>
    <xf numFmtId="171" fontId="36" fillId="0" borderId="23" xfId="53" applyFont="1" applyBorder="1" applyAlignment="1">
      <alignment vertical="top"/>
    </xf>
    <xf numFmtId="0" fontId="36" fillId="0" borderId="23" xfId="0" applyFont="1" applyBorder="1" applyAlignment="1">
      <alignment horizontal="center" vertical="top"/>
    </xf>
    <xf numFmtId="171" fontId="36" fillId="0" borderId="23" xfId="39" applyFont="1" applyBorder="1" applyAlignment="1">
      <alignment horizontal="right" vertical="top" wrapText="1"/>
    </xf>
    <xf numFmtId="171" fontId="36" fillId="0" borderId="23" xfId="53" applyFont="1" applyBorder="1" applyAlignment="1">
      <alignment horizontal="center" vertical="top"/>
    </xf>
    <xf numFmtId="0" fontId="36" fillId="0" borderId="0" xfId="60" applyFont="1" applyAlignment="1">
      <alignment vertical="top" wrapText="1"/>
      <protection/>
    </xf>
    <xf numFmtId="0" fontId="38" fillId="0" borderId="22" xfId="0" applyFont="1" applyFill="1" applyBorder="1" applyAlignment="1">
      <alignment horizontal="center" vertical="top" wrapText="1"/>
    </xf>
    <xf numFmtId="0" fontId="38" fillId="0" borderId="22" xfId="0" applyFont="1" applyFill="1" applyBorder="1" applyAlignment="1">
      <alignment vertical="top" wrapText="1"/>
    </xf>
    <xf numFmtId="4" fontId="38" fillId="0" borderId="22" xfId="0" applyNumberFormat="1" applyFont="1" applyFill="1" applyBorder="1" applyAlignment="1">
      <alignment horizontal="right" vertical="top" wrapText="1"/>
    </xf>
    <xf numFmtId="41" fontId="38" fillId="0" borderId="22" xfId="0" applyNumberFormat="1" applyFont="1" applyFill="1" applyBorder="1" applyAlignment="1">
      <alignment horizontal="right" vertical="top" wrapText="1"/>
    </xf>
    <xf numFmtId="171" fontId="36" fillId="0" borderId="22" xfId="40" applyFont="1" applyFill="1" applyBorder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36" fillId="0" borderId="0" xfId="0" applyFont="1" applyAlignment="1">
      <alignment horizontal="center"/>
    </xf>
    <xf numFmtId="171" fontId="36" fillId="0" borderId="0" xfId="53" applyFont="1" applyAlignment="1">
      <alignment horizontal="right"/>
    </xf>
    <xf numFmtId="0" fontId="36" fillId="0" borderId="0" xfId="0" applyFont="1" applyAlignment="1" applyProtection="1">
      <alignment/>
      <protection hidden="1"/>
    </xf>
    <xf numFmtId="0" fontId="38" fillId="0" borderId="20" xfId="0" applyFont="1" applyFill="1" applyBorder="1" applyAlignment="1" applyProtection="1">
      <alignment horizontal="center"/>
      <protection hidden="1"/>
    </xf>
    <xf numFmtId="3" fontId="38" fillId="0" borderId="20" xfId="0" applyNumberFormat="1" applyFont="1" applyFill="1" applyBorder="1" applyAlignment="1" applyProtection="1">
      <alignment horizontal="center"/>
      <protection hidden="1"/>
    </xf>
    <xf numFmtId="0" fontId="38" fillId="0" borderId="22" xfId="0" applyFont="1" applyFill="1" applyBorder="1" applyAlignment="1" applyProtection="1">
      <alignment horizontal="center"/>
      <protection hidden="1"/>
    </xf>
    <xf numFmtId="3" fontId="38" fillId="0" borderId="22" xfId="0" applyNumberFormat="1" applyFont="1" applyFill="1" applyBorder="1" applyAlignment="1" applyProtection="1">
      <alignment horizontal="center"/>
      <protection hidden="1"/>
    </xf>
    <xf numFmtId="0" fontId="36" fillId="0" borderId="22" xfId="0" applyFont="1" applyFill="1" applyBorder="1" applyAlignment="1" applyProtection="1">
      <alignment/>
      <protection hidden="1"/>
    </xf>
    <xf numFmtId="0" fontId="36" fillId="0" borderId="22" xfId="0" applyFont="1" applyFill="1" applyBorder="1" applyAlignment="1" applyProtection="1">
      <alignment horizontal="center"/>
      <protection hidden="1"/>
    </xf>
    <xf numFmtId="0" fontId="36" fillId="0" borderId="26" xfId="0" applyFont="1" applyFill="1" applyBorder="1" applyAlignment="1" applyProtection="1">
      <alignment horizontal="left"/>
      <protection hidden="1"/>
    </xf>
    <xf numFmtId="0" fontId="36" fillId="0" borderId="27" xfId="0" applyFont="1" applyFill="1" applyBorder="1" applyAlignment="1" applyProtection="1">
      <alignment horizontal="left"/>
      <protection hidden="1"/>
    </xf>
    <xf numFmtId="0" fontId="36" fillId="0" borderId="24" xfId="0" applyFont="1" applyFill="1" applyBorder="1" applyAlignment="1" applyProtection="1">
      <alignment horizontal="left"/>
      <protection hidden="1"/>
    </xf>
    <xf numFmtId="43" fontId="36" fillId="0" borderId="23" xfId="0" applyNumberFormat="1" applyFont="1" applyFill="1" applyBorder="1" applyAlignment="1" applyProtection="1">
      <alignment horizontal="right"/>
      <protection hidden="1"/>
    </xf>
    <xf numFmtId="43" fontId="36" fillId="0" borderId="22" xfId="0" applyNumberFormat="1" applyFont="1" applyFill="1" applyBorder="1" applyAlignment="1" applyProtection="1">
      <alignment horizontal="right"/>
      <protection hidden="1"/>
    </xf>
    <xf numFmtId="10" fontId="36" fillId="0" borderId="22" xfId="0" applyNumberFormat="1" applyFont="1" applyFill="1" applyBorder="1" applyAlignment="1" applyProtection="1">
      <alignment horizontal="right"/>
      <protection hidden="1"/>
    </xf>
    <xf numFmtId="3" fontId="36" fillId="0" borderId="0" xfId="0" applyNumberFormat="1" applyFont="1" applyAlignment="1" applyProtection="1">
      <alignment/>
      <protection hidden="1"/>
    </xf>
    <xf numFmtId="0" fontId="36" fillId="0" borderId="26" xfId="0" applyNumberFormat="1" applyFont="1" applyFill="1" applyBorder="1" applyAlignment="1" applyProtection="1">
      <alignment horizontal="left"/>
      <protection hidden="1"/>
    </xf>
    <xf numFmtId="171" fontId="36" fillId="0" borderId="26" xfId="0" applyNumberFormat="1" applyFont="1" applyFill="1" applyBorder="1" applyAlignment="1" applyProtection="1">
      <alignment horizontal="left"/>
      <protection hidden="1"/>
    </xf>
    <xf numFmtId="43" fontId="38" fillId="0" borderId="23" xfId="0" applyNumberFormat="1" applyFont="1" applyFill="1" applyBorder="1" applyAlignment="1" applyProtection="1">
      <alignment horizontal="right"/>
      <protection hidden="1"/>
    </xf>
    <xf numFmtId="9" fontId="36" fillId="0" borderId="22" xfId="0" applyNumberFormat="1" applyFont="1" applyFill="1" applyBorder="1" applyAlignment="1" applyProtection="1">
      <alignment horizontal="right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left"/>
      <protection hidden="1"/>
    </xf>
    <xf numFmtId="3" fontId="37" fillId="0" borderId="0" xfId="0" applyNumberFormat="1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right"/>
      <protection hidden="1"/>
    </xf>
    <xf numFmtId="10" fontId="37" fillId="0" borderId="0" xfId="0" applyNumberFormat="1" applyFont="1" applyBorder="1" applyAlignment="1" applyProtection="1">
      <alignment horizontal="center"/>
      <protection hidden="1"/>
    </xf>
    <xf numFmtId="0" fontId="36" fillId="0" borderId="0" xfId="0" applyFont="1" applyAlignment="1" applyProtection="1">
      <alignment/>
      <protection/>
    </xf>
    <xf numFmtId="3" fontId="36" fillId="0" borderId="0" xfId="0" applyNumberFormat="1" applyFont="1" applyAlignment="1" applyProtection="1">
      <alignment/>
      <protection/>
    </xf>
    <xf numFmtId="0" fontId="38" fillId="0" borderId="20" xfId="0" applyFont="1" applyFill="1" applyBorder="1" applyAlignment="1" applyProtection="1">
      <alignment horizontal="center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38" fillId="0" borderId="21" xfId="0" applyFont="1" applyFill="1" applyBorder="1" applyAlignment="1" applyProtection="1">
      <alignment horizontal="center"/>
      <protection/>
    </xf>
    <xf numFmtId="0" fontId="36" fillId="0" borderId="21" xfId="0" applyFont="1" applyFill="1" applyBorder="1" applyAlignment="1" applyProtection="1">
      <alignment horizontal="center"/>
      <protection/>
    </xf>
    <xf numFmtId="0" fontId="38" fillId="0" borderId="22" xfId="0" applyFont="1" applyFill="1" applyBorder="1" applyAlignment="1" applyProtection="1">
      <alignment horizontal="center"/>
      <protection/>
    </xf>
    <xf numFmtId="0" fontId="36" fillId="0" borderId="22" xfId="0" applyFont="1" applyFill="1" applyBorder="1" applyAlignment="1" applyProtection="1">
      <alignment horizontal="center"/>
      <protection/>
    </xf>
    <xf numFmtId="0" fontId="38" fillId="0" borderId="26" xfId="0" applyFont="1" applyFill="1" applyBorder="1" applyAlignment="1" applyProtection="1">
      <alignment horizontal="center"/>
      <protection/>
    </xf>
    <xf numFmtId="0" fontId="38" fillId="0" borderId="26" xfId="0" applyFont="1" applyFill="1" applyBorder="1" applyAlignment="1" applyProtection="1">
      <alignment horizontal="left"/>
      <protection/>
    </xf>
    <xf numFmtId="0" fontId="38" fillId="0" borderId="27" xfId="0" applyFont="1" applyFill="1" applyBorder="1" applyAlignment="1" applyProtection="1">
      <alignment horizontal="center"/>
      <protection/>
    </xf>
    <xf numFmtId="0" fontId="38" fillId="0" borderId="27" xfId="0" applyNumberFormat="1" applyFont="1" applyFill="1" applyBorder="1" applyAlignment="1" applyProtection="1">
      <alignment horizontal="left"/>
      <protection/>
    </xf>
    <xf numFmtId="10" fontId="38" fillId="0" borderId="24" xfId="0" applyNumberFormat="1" applyFont="1" applyFill="1" applyBorder="1" applyAlignment="1" applyProtection="1">
      <alignment horizontal="center"/>
      <protection/>
    </xf>
    <xf numFmtId="0" fontId="36" fillId="0" borderId="22" xfId="0" applyFont="1" applyFill="1" applyBorder="1" applyAlignment="1" applyProtection="1">
      <alignment horizontal="right"/>
      <protection/>
    </xf>
    <xf numFmtId="0" fontId="36" fillId="0" borderId="20" xfId="0" applyFont="1" applyFill="1" applyBorder="1" applyAlignment="1" applyProtection="1">
      <alignment horizontal="right"/>
      <protection/>
    </xf>
    <xf numFmtId="0" fontId="36" fillId="0" borderId="21" xfId="0" applyFont="1" applyFill="1" applyBorder="1" applyAlignment="1" applyProtection="1">
      <alignment horizontal="right"/>
      <protection/>
    </xf>
    <xf numFmtId="0" fontId="38" fillId="0" borderId="23" xfId="0" applyFont="1" applyFill="1" applyBorder="1" applyAlignment="1" applyProtection="1">
      <alignment horizontal="center"/>
      <protection/>
    </xf>
    <xf numFmtId="0" fontId="36" fillId="0" borderId="23" xfId="0" applyFont="1" applyFill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horizontal="left"/>
      <protection/>
    </xf>
    <xf numFmtId="171" fontId="38" fillId="0" borderId="0" xfId="53" applyFont="1" applyBorder="1" applyAlignment="1" applyProtection="1">
      <alignment horizontal="left"/>
      <protection/>
    </xf>
    <xf numFmtId="0" fontId="38" fillId="0" borderId="0" xfId="0" applyFont="1" applyAlignment="1" applyProtection="1">
      <alignment horizontal="right"/>
      <protection/>
    </xf>
    <xf numFmtId="183" fontId="36" fillId="0" borderId="0" xfId="0" applyNumberFormat="1" applyFont="1" applyAlignment="1" applyProtection="1">
      <alignment/>
      <protection/>
    </xf>
    <xf numFmtId="0" fontId="36" fillId="0" borderId="23" xfId="0" applyFont="1" applyBorder="1" applyAlignment="1">
      <alignment vertical="top" wrapText="1"/>
    </xf>
    <xf numFmtId="171" fontId="36" fillId="0" borderId="23" xfId="53" applyFont="1" applyBorder="1" applyAlignment="1">
      <alignment horizontal="center" vertical="top" wrapText="1"/>
    </xf>
    <xf numFmtId="171" fontId="36" fillId="0" borderId="23" xfId="33" applyFont="1" applyFill="1" applyBorder="1" applyAlignment="1">
      <alignment horizontal="right" vertical="top" wrapText="1"/>
    </xf>
    <xf numFmtId="0" fontId="36" fillId="0" borderId="23" xfId="0" applyFont="1" applyBorder="1" applyAlignment="1">
      <alignment horizontal="left" vertical="center" wrapText="1"/>
    </xf>
    <xf numFmtId="0" fontId="36" fillId="0" borderId="0" xfId="0" applyFont="1" applyBorder="1" applyAlignment="1" quotePrefix="1">
      <alignment/>
    </xf>
    <xf numFmtId="0" fontId="36" fillId="0" borderId="0" xfId="0" applyFont="1" applyBorder="1" applyAlignment="1">
      <alignment/>
    </xf>
    <xf numFmtId="0" fontId="38" fillId="0" borderId="12" xfId="0" applyFont="1" applyBorder="1" applyAlignment="1">
      <alignment/>
    </xf>
    <xf numFmtId="171" fontId="36" fillId="0" borderId="23" xfId="53" applyFont="1" applyBorder="1" applyAlignment="1">
      <alignment horizontal="left" vertical="top" wrapText="1"/>
    </xf>
    <xf numFmtId="0" fontId="36" fillId="0" borderId="19" xfId="0" applyFont="1" applyBorder="1" applyAlignment="1">
      <alignment horizontal="center"/>
    </xf>
    <xf numFmtId="171" fontId="36" fillId="0" borderId="12" xfId="53" applyFont="1" applyBorder="1" applyAlignment="1">
      <alignment horizontal="right"/>
    </xf>
    <xf numFmtId="0" fontId="36" fillId="0" borderId="12" xfId="0" applyFont="1" applyBorder="1" applyAlignment="1">
      <alignment horizontal="center"/>
    </xf>
    <xf numFmtId="171" fontId="36" fillId="0" borderId="13" xfId="53" applyFont="1" applyBorder="1" applyAlignment="1">
      <alignment horizontal="right"/>
    </xf>
    <xf numFmtId="0" fontId="36" fillId="0" borderId="14" xfId="0" applyFont="1" applyBorder="1" applyAlignment="1">
      <alignment horizontal="center"/>
    </xf>
    <xf numFmtId="171" fontId="36" fillId="0" borderId="0" xfId="53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171" fontId="36" fillId="0" borderId="15" xfId="53" applyFont="1" applyBorder="1" applyAlignment="1">
      <alignment horizontal="right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 quotePrefix="1">
      <alignment/>
    </xf>
    <xf numFmtId="171" fontId="36" fillId="0" borderId="17" xfId="53" applyFont="1" applyBorder="1" applyAlignment="1">
      <alignment horizontal="right"/>
    </xf>
    <xf numFmtId="0" fontId="36" fillId="0" borderId="17" xfId="0" applyFont="1" applyBorder="1" applyAlignment="1">
      <alignment horizontal="center"/>
    </xf>
    <xf numFmtId="171" fontId="36" fillId="0" borderId="18" xfId="53" applyFont="1" applyBorder="1" applyAlignment="1">
      <alignment horizontal="right"/>
    </xf>
    <xf numFmtId="171" fontId="36" fillId="0" borderId="0" xfId="53" applyFont="1" applyAlignment="1" applyProtection="1">
      <alignment/>
      <protection/>
    </xf>
    <xf numFmtId="171" fontId="36" fillId="0" borderId="0" xfId="0" applyNumberFormat="1" applyFont="1" applyAlignment="1" applyProtection="1">
      <alignment/>
      <protection/>
    </xf>
    <xf numFmtId="0" fontId="29" fillId="0" borderId="0" xfId="0" applyFont="1" applyAlignment="1">
      <alignment vertical="top" wrapText="1"/>
    </xf>
    <xf numFmtId="0" fontId="34" fillId="0" borderId="0" xfId="61" applyFont="1" applyFill="1" applyAlignment="1">
      <alignment horizontal="center"/>
      <protection/>
    </xf>
    <xf numFmtId="0" fontId="30" fillId="0" borderId="0" xfId="61" applyFont="1" applyFill="1" applyAlignment="1">
      <alignment horizontal="center"/>
      <protection/>
    </xf>
    <xf numFmtId="0" fontId="32" fillId="0" borderId="0" xfId="61" applyFont="1" applyFill="1" applyAlignment="1" applyProtection="1">
      <alignment horizontal="center"/>
      <protection locked="0"/>
    </xf>
    <xf numFmtId="0" fontId="28" fillId="0" borderId="0" xfId="61" applyFont="1" applyFill="1" applyAlignment="1">
      <alignment horizontal="center"/>
      <protection/>
    </xf>
    <xf numFmtId="3" fontId="38" fillId="0" borderId="28" xfId="0" applyNumberFormat="1" applyFont="1" applyFill="1" applyBorder="1" applyAlignment="1" applyProtection="1">
      <alignment horizontal="center"/>
      <protection/>
    </xf>
    <xf numFmtId="3" fontId="38" fillId="0" borderId="29" xfId="0" applyNumberFormat="1" applyFont="1" applyFill="1" applyBorder="1" applyAlignment="1" applyProtection="1">
      <alignment horizontal="center"/>
      <protection/>
    </xf>
    <xf numFmtId="3" fontId="38" fillId="0" borderId="30" xfId="0" applyNumberFormat="1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 horizontal="left"/>
      <protection/>
    </xf>
    <xf numFmtId="0" fontId="38" fillId="0" borderId="17" xfId="0" applyFont="1" applyFill="1" applyBorder="1" applyAlignment="1" applyProtection="1">
      <alignment horizontal="left"/>
      <protection/>
    </xf>
    <xf numFmtId="0" fontId="38" fillId="0" borderId="0" xfId="0" applyFont="1" applyAlignment="1" applyProtection="1">
      <alignment horizontal="center"/>
      <protection/>
    </xf>
    <xf numFmtId="171" fontId="36" fillId="0" borderId="0" xfId="0" applyNumberFormat="1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171" fontId="36" fillId="0" borderId="0" xfId="53" applyFont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center"/>
      <protection/>
    </xf>
    <xf numFmtId="0" fontId="35" fillId="0" borderId="17" xfId="0" applyFont="1" applyFill="1" applyBorder="1" applyAlignment="1" applyProtection="1">
      <alignment horizontal="center"/>
      <protection/>
    </xf>
    <xf numFmtId="0" fontId="35" fillId="0" borderId="18" xfId="0" applyFont="1" applyFill="1" applyBorder="1" applyAlignment="1" applyProtection="1">
      <alignment horizontal="center"/>
      <protection/>
    </xf>
    <xf numFmtId="0" fontId="38" fillId="0" borderId="26" xfId="0" applyFont="1" applyFill="1" applyBorder="1" applyAlignment="1" applyProtection="1">
      <alignment horizontal="left"/>
      <protection/>
    </xf>
    <xf numFmtId="0" fontId="36" fillId="0" borderId="27" xfId="0" applyFont="1" applyFill="1" applyBorder="1" applyAlignment="1">
      <alignment/>
    </xf>
    <xf numFmtId="0" fontId="36" fillId="0" borderId="24" xfId="0" applyFont="1" applyFill="1" applyBorder="1" applyAlignment="1">
      <alignment/>
    </xf>
    <xf numFmtId="3" fontId="38" fillId="0" borderId="31" xfId="0" applyNumberFormat="1" applyFont="1" applyFill="1" applyBorder="1" applyAlignment="1" applyProtection="1">
      <alignment horizontal="center"/>
      <protection/>
    </xf>
    <xf numFmtId="0" fontId="36" fillId="0" borderId="32" xfId="0" applyFont="1" applyFill="1" applyBorder="1" applyAlignment="1">
      <alignment/>
    </xf>
    <xf numFmtId="0" fontId="36" fillId="0" borderId="33" xfId="0" applyFont="1" applyFill="1" applyBorder="1" applyAlignment="1">
      <alignment/>
    </xf>
    <xf numFmtId="0" fontId="38" fillId="0" borderId="18" xfId="0" applyFont="1" applyFill="1" applyBorder="1" applyAlignment="1" applyProtection="1">
      <alignment horizontal="left"/>
      <protection/>
    </xf>
    <xf numFmtId="3" fontId="36" fillId="0" borderId="14" xfId="0" applyNumberFormat="1" applyFont="1" applyFill="1" applyBorder="1" applyAlignment="1" applyProtection="1">
      <alignment horizontal="center"/>
      <protection/>
    </xf>
    <xf numFmtId="3" fontId="36" fillId="0" borderId="0" xfId="0" applyNumberFormat="1" applyFont="1" applyFill="1" applyBorder="1" applyAlignment="1" applyProtection="1">
      <alignment horizontal="center"/>
      <protection/>
    </xf>
    <xf numFmtId="3" fontId="36" fillId="0" borderId="15" xfId="0" applyNumberFormat="1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15" xfId="0" applyFont="1" applyFill="1" applyBorder="1" applyAlignment="1" applyProtection="1">
      <alignment horizontal="left"/>
      <protection/>
    </xf>
    <xf numFmtId="0" fontId="35" fillId="0" borderId="0" xfId="0" applyFont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8" fillId="0" borderId="19" xfId="0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38" fillId="0" borderId="20" xfId="0" applyFont="1" applyFill="1" applyBorder="1" applyAlignment="1" applyProtection="1">
      <alignment horizontal="center"/>
      <protection/>
    </xf>
    <xf numFmtId="3" fontId="38" fillId="0" borderId="32" xfId="0" applyNumberFormat="1" applyFont="1" applyFill="1" applyBorder="1" applyAlignment="1" applyProtection="1">
      <alignment horizontal="center"/>
      <protection/>
    </xf>
    <xf numFmtId="3" fontId="38" fillId="0" borderId="33" xfId="0" applyNumberFormat="1" applyFont="1" applyFill="1" applyBorder="1" applyAlignment="1" applyProtection="1">
      <alignment horizontal="center"/>
      <protection/>
    </xf>
    <xf numFmtId="0" fontId="38" fillId="0" borderId="19" xfId="0" applyFont="1" applyFill="1" applyBorder="1" applyAlignment="1" applyProtection="1">
      <alignment horizontal="left"/>
      <protection/>
    </xf>
    <xf numFmtId="0" fontId="38" fillId="0" borderId="12" xfId="0" applyFont="1" applyFill="1" applyBorder="1" applyAlignment="1" applyProtection="1">
      <alignment horizontal="left"/>
      <protection/>
    </xf>
    <xf numFmtId="0" fontId="38" fillId="0" borderId="13" xfId="0" applyFont="1" applyFill="1" applyBorder="1" applyAlignment="1" applyProtection="1">
      <alignment horizontal="left"/>
      <protection/>
    </xf>
    <xf numFmtId="43" fontId="37" fillId="0" borderId="26" xfId="0" applyNumberFormat="1" applyFont="1" applyFill="1" applyBorder="1" applyAlignment="1" applyProtection="1">
      <alignment horizontal="center"/>
      <protection hidden="1"/>
    </xf>
    <xf numFmtId="43" fontId="37" fillId="0" borderId="24" xfId="0" applyNumberFormat="1" applyFont="1" applyFill="1" applyBorder="1" applyAlignment="1" applyProtection="1">
      <alignment horizontal="center"/>
      <protection hidden="1"/>
    </xf>
    <xf numFmtId="0" fontId="38" fillId="0" borderId="26" xfId="0" applyFont="1" applyFill="1" applyBorder="1" applyAlignment="1" applyProtection="1">
      <alignment horizontal="center"/>
      <protection hidden="1"/>
    </xf>
    <xf numFmtId="0" fontId="38" fillId="0" borderId="24" xfId="0" applyFont="1" applyFill="1" applyBorder="1" applyAlignment="1" applyProtection="1">
      <alignment horizontal="center"/>
      <protection hidden="1"/>
    </xf>
    <xf numFmtId="0" fontId="36" fillId="0" borderId="26" xfId="0" applyFont="1" applyFill="1" applyBorder="1" applyAlignment="1" applyProtection="1">
      <alignment horizontal="left"/>
      <protection hidden="1"/>
    </xf>
    <xf numFmtId="0" fontId="36" fillId="0" borderId="27" xfId="0" applyFont="1" applyFill="1" applyBorder="1" applyAlignment="1" applyProtection="1">
      <alignment horizontal="left"/>
      <protection hidden="1"/>
    </xf>
    <xf numFmtId="0" fontId="36" fillId="0" borderId="24" xfId="0" applyFont="1" applyFill="1" applyBorder="1" applyAlignment="1" applyProtection="1">
      <alignment horizontal="left"/>
      <protection hidden="1"/>
    </xf>
    <xf numFmtId="0" fontId="38" fillId="0" borderId="26" xfId="0" applyFont="1" applyFill="1" applyBorder="1" applyAlignment="1" applyProtection="1">
      <alignment horizontal="left"/>
      <protection hidden="1"/>
    </xf>
    <xf numFmtId="0" fontId="38" fillId="0" borderId="27" xfId="0" applyFont="1" applyFill="1" applyBorder="1" applyAlignment="1" applyProtection="1">
      <alignment horizontal="left"/>
      <protection hidden="1"/>
    </xf>
    <xf numFmtId="0" fontId="38" fillId="0" borderId="24" xfId="0" applyFont="1" applyFill="1" applyBorder="1" applyAlignment="1" applyProtection="1">
      <alignment horizontal="left"/>
      <protection hidden="1"/>
    </xf>
    <xf numFmtId="0" fontId="38" fillId="0" borderId="16" xfId="0" applyFont="1" applyFill="1" applyBorder="1" applyAlignment="1" applyProtection="1">
      <alignment horizontal="center"/>
      <protection hidden="1"/>
    </xf>
    <xf numFmtId="0" fontId="38" fillId="0" borderId="17" xfId="0" applyFont="1" applyFill="1" applyBorder="1" applyAlignment="1" applyProtection="1">
      <alignment horizontal="center"/>
      <protection hidden="1"/>
    </xf>
    <xf numFmtId="0" fontId="38" fillId="0" borderId="18" xfId="0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8" fillId="0" borderId="19" xfId="0" applyFont="1" applyFill="1" applyBorder="1" applyAlignment="1" applyProtection="1">
      <alignment horizontal="center"/>
      <protection hidden="1"/>
    </xf>
    <xf numFmtId="0" fontId="38" fillId="0" borderId="12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/>
      <protection hidden="1"/>
    </xf>
    <xf numFmtId="171" fontId="38" fillId="0" borderId="26" xfId="53" applyFont="1" applyFill="1" applyBorder="1" applyAlignment="1">
      <alignment horizontal="center"/>
    </xf>
    <xf numFmtId="171" fontId="38" fillId="0" borderId="24" xfId="53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0" xfId="58" applyFont="1" applyAlignment="1">
      <alignment horizontal="center"/>
      <protection/>
    </xf>
    <xf numFmtId="49" fontId="2" fillId="0" borderId="0" xfId="58" applyNumberFormat="1" applyFont="1" applyAlignment="1">
      <alignment horizontal="center" vertical="top"/>
      <protection/>
    </xf>
    <xf numFmtId="182" fontId="2" fillId="0" borderId="14" xfId="58" applyNumberFormat="1" applyFont="1" applyBorder="1" applyAlignment="1">
      <alignment horizontal="center" vertical="top"/>
      <protection/>
    </xf>
    <xf numFmtId="182" fontId="2" fillId="0" borderId="15" xfId="58" applyNumberFormat="1" applyFont="1" applyBorder="1" applyAlignment="1">
      <alignment horizontal="center" vertical="top"/>
      <protection/>
    </xf>
    <xf numFmtId="182" fontId="2" fillId="0" borderId="16" xfId="58" applyNumberFormat="1" applyFont="1" applyBorder="1" applyAlignment="1">
      <alignment horizontal="center" vertical="top"/>
      <protection/>
    </xf>
    <xf numFmtId="182" fontId="2" fillId="0" borderId="18" xfId="58" applyNumberFormat="1" applyFont="1" applyBorder="1" applyAlignment="1">
      <alignment horizontal="center" vertical="top"/>
      <protection/>
    </xf>
    <xf numFmtId="182" fontId="2" fillId="0" borderId="19" xfId="58" applyNumberFormat="1" applyFont="1" applyBorder="1" applyAlignment="1">
      <alignment horizontal="center" vertical="top"/>
      <protection/>
    </xf>
    <xf numFmtId="182" fontId="2" fillId="0" borderId="13" xfId="58" applyNumberFormat="1" applyFont="1" applyBorder="1" applyAlignment="1">
      <alignment horizontal="center" vertical="top"/>
      <protection/>
    </xf>
    <xf numFmtId="0" fontId="2" fillId="17" borderId="19" xfId="58" applyFont="1" applyFill="1" applyBorder="1" applyAlignment="1">
      <alignment horizontal="center" vertical="top"/>
      <protection/>
    </xf>
    <xf numFmtId="0" fontId="2" fillId="17" borderId="13" xfId="58" applyFont="1" applyFill="1" applyBorder="1" applyAlignment="1">
      <alignment horizontal="center" vertical="top"/>
      <protection/>
    </xf>
    <xf numFmtId="0" fontId="2" fillId="17" borderId="12" xfId="58" applyFont="1" applyFill="1" applyBorder="1" applyAlignment="1">
      <alignment horizontal="center" vertical="top"/>
      <protection/>
    </xf>
    <xf numFmtId="0" fontId="2" fillId="17" borderId="19" xfId="58" applyFont="1" applyFill="1" applyBorder="1" applyAlignment="1">
      <alignment horizontal="center" vertical="center"/>
      <protection/>
    </xf>
    <xf numFmtId="0" fontId="2" fillId="17" borderId="13" xfId="58" applyFont="1" applyFill="1" applyBorder="1" applyAlignment="1">
      <alignment horizontal="center" vertical="center"/>
      <protection/>
    </xf>
    <xf numFmtId="0" fontId="2" fillId="17" borderId="14" xfId="58" applyFont="1" applyFill="1" applyBorder="1" applyAlignment="1">
      <alignment horizontal="center" vertical="center"/>
      <protection/>
    </xf>
    <xf numFmtId="0" fontId="2" fillId="17" borderId="15" xfId="58" applyFont="1" applyFill="1" applyBorder="1" applyAlignment="1">
      <alignment horizontal="center" vertical="center"/>
      <protection/>
    </xf>
    <xf numFmtId="0" fontId="2" fillId="17" borderId="16" xfId="58" applyFont="1" applyFill="1" applyBorder="1" applyAlignment="1">
      <alignment horizontal="center" vertical="center"/>
      <protection/>
    </xf>
    <xf numFmtId="0" fontId="2" fillId="17" borderId="18" xfId="58" applyFont="1" applyFill="1" applyBorder="1" applyAlignment="1">
      <alignment horizontal="center" vertical="center"/>
      <protection/>
    </xf>
    <xf numFmtId="0" fontId="2" fillId="17" borderId="14" xfId="58" applyFont="1" applyFill="1" applyBorder="1" applyAlignment="1">
      <alignment horizontal="center" vertical="top"/>
      <protection/>
    </xf>
    <xf numFmtId="0" fontId="2" fillId="17" borderId="15" xfId="58" applyFont="1" applyFill="1" applyBorder="1" applyAlignment="1">
      <alignment horizontal="center" vertical="top"/>
      <protection/>
    </xf>
    <xf numFmtId="0" fontId="2" fillId="17" borderId="14" xfId="58" applyFont="1" applyFill="1" applyBorder="1" applyAlignment="1">
      <alignment horizontal="center"/>
      <protection/>
    </xf>
    <xf numFmtId="0" fontId="2" fillId="17" borderId="17" xfId="58" applyFont="1" applyFill="1" applyBorder="1" applyAlignment="1">
      <alignment horizontal="center"/>
      <protection/>
    </xf>
    <xf numFmtId="0" fontId="2" fillId="17" borderId="18" xfId="58" applyFont="1" applyFill="1" applyBorder="1" applyAlignment="1">
      <alignment horizontal="center"/>
      <protection/>
    </xf>
    <xf numFmtId="0" fontId="2" fillId="17" borderId="0" xfId="58" applyFont="1" applyFill="1" applyAlignment="1">
      <alignment horizontal="center" vertical="top"/>
      <protection/>
    </xf>
    <xf numFmtId="0" fontId="2" fillId="17" borderId="16" xfId="58" applyFont="1" applyFill="1" applyBorder="1" applyAlignment="1">
      <alignment horizontal="center" vertical="top"/>
      <protection/>
    </xf>
    <xf numFmtId="0" fontId="2" fillId="17" borderId="17" xfId="58" applyFont="1" applyFill="1" applyBorder="1" applyAlignment="1">
      <alignment horizontal="center" vertical="top"/>
      <protection/>
    </xf>
    <xf numFmtId="0" fontId="0" fillId="17" borderId="18" xfId="58" applyFill="1" applyBorder="1">
      <alignment/>
      <protection/>
    </xf>
    <xf numFmtId="182" fontId="2" fillId="0" borderId="23" xfId="58" applyNumberFormat="1" applyFont="1" applyBorder="1" applyAlignment="1">
      <alignment horizontal="center" vertical="top"/>
      <protection/>
    </xf>
    <xf numFmtId="182" fontId="2" fillId="0" borderId="26" xfId="58" applyNumberFormat="1" applyFont="1" applyBorder="1" applyAlignment="1">
      <alignment horizontal="center" vertical="top"/>
      <protection/>
    </xf>
    <xf numFmtId="182" fontId="2" fillId="0" borderId="24" xfId="58" applyNumberFormat="1" applyFont="1" applyBorder="1" applyAlignment="1">
      <alignment horizontal="center" vertical="top"/>
      <protection/>
    </xf>
    <xf numFmtId="182" fontId="3" fillId="0" borderId="26" xfId="58" applyNumberFormat="1" applyFont="1" applyBorder="1" applyAlignment="1">
      <alignment horizontal="center" vertical="center"/>
      <protection/>
    </xf>
    <xf numFmtId="182" fontId="3" fillId="0" borderId="24" xfId="58" applyNumberFormat="1" applyFont="1" applyBorder="1" applyAlignment="1">
      <alignment horizontal="center" vertical="center"/>
      <protection/>
    </xf>
    <xf numFmtId="182" fontId="8" fillId="0" borderId="0" xfId="58" applyNumberFormat="1" applyFont="1" applyAlignment="1">
      <alignment horizontal="center" vertical="top"/>
      <protection/>
    </xf>
    <xf numFmtId="0" fontId="7" fillId="0" borderId="0" xfId="58" applyFont="1" applyAlignment="1">
      <alignment horizontal="center" vertical="top"/>
      <protection/>
    </xf>
    <xf numFmtId="0" fontId="1" fillId="0" borderId="0" xfId="58" applyFont="1" applyAlignment="1">
      <alignment horizontal="center" vertical="top"/>
      <protection/>
    </xf>
    <xf numFmtId="0" fontId="3" fillId="0" borderId="19" xfId="58" applyFont="1" applyBorder="1" applyAlignment="1">
      <alignment horizontal="left" vertical="top"/>
      <protection/>
    </xf>
    <xf numFmtId="0" fontId="3" fillId="0" borderId="12" xfId="58" applyFont="1" applyBorder="1" applyAlignment="1">
      <alignment horizontal="left" vertical="top"/>
      <protection/>
    </xf>
    <xf numFmtId="0" fontId="0" fillId="17" borderId="13" xfId="58" applyFill="1" applyBorder="1">
      <alignment/>
      <protection/>
    </xf>
    <xf numFmtId="0" fontId="2" fillId="17" borderId="18" xfId="58" applyFont="1" applyFill="1" applyBorder="1" applyAlignment="1">
      <alignment horizontal="center" vertical="top"/>
      <protection/>
    </xf>
    <xf numFmtId="0" fontId="0" fillId="17" borderId="15" xfId="58" applyFill="1" applyBorder="1">
      <alignment/>
      <protection/>
    </xf>
    <xf numFmtId="0" fontId="0" fillId="0" borderId="0" xfId="0" applyAlignment="1">
      <alignment horizontal="left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Comma 3" xfId="34"/>
    <cellStyle name="Excel Built-in Normal" xfId="35"/>
    <cellStyle name="Followed Hyperlink" xfId="36"/>
    <cellStyle name="Hyperlink" xfId="37"/>
    <cellStyle name="Normal 2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Percent" xfId="46"/>
    <cellStyle name="เปอร์เซ็นต์ 2" xfId="47"/>
    <cellStyle name="แย่" xfId="48"/>
    <cellStyle name="แสดงผล" xfId="49"/>
    <cellStyle name="การคำนวณ" xfId="50"/>
    <cellStyle name="ข้อความเตือน" xfId="51"/>
    <cellStyle name="ข้อความอธิบาย" xfId="52"/>
    <cellStyle name="Comma" xfId="53"/>
    <cellStyle name="Comma [0]" xfId="54"/>
    <cellStyle name="ชื่อเรื่อง" xfId="55"/>
    <cellStyle name="ดี" xfId="56"/>
    <cellStyle name="ปกติ 13" xfId="57"/>
    <cellStyle name="ปกติ 2" xfId="58"/>
    <cellStyle name="ปกติ 2 3" xfId="59"/>
    <cellStyle name="ปกติ 3" xfId="60"/>
    <cellStyle name="ปกติ 4" xfId="61"/>
    <cellStyle name="ปกติ 5" xfId="62"/>
    <cellStyle name="ป้อนค่า" xfId="63"/>
    <cellStyle name="ปานกลาง" xfId="64"/>
    <cellStyle name="ผลรวม" xfId="65"/>
    <cellStyle name="Currency" xfId="66"/>
    <cellStyle name="Currency [0]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6</xdr:col>
      <xdr:colOff>28575</xdr:colOff>
      <xdr:row>6</xdr:row>
      <xdr:rowOff>266700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323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285750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266700</xdr:colOff>
      <xdr:row>2</xdr:row>
      <xdr:rowOff>276225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285750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tor%20F\Fbuil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annika\&#3591;&#3634;&#3609;&#3611;&#3637;%202555\&#3648;&#3604;&#3639;&#3629;&#3609;%20&#3617;.&#3588;%2055\&#3591;&#3634;&#3609;&#3606;&#3609;&#3609;%20&#3588;&#3626;&#3621;\&#3591;&#3634;&#3609;&#3606;&#3609;&#3609;&#3588;&#3629;&#3609;&#3585;&#3619;&#3637;&#3605;&#3648;&#3626;&#3619;&#3636;&#3617;&#3648;&#3627;&#3621;&#3655;&#3585;%20(&#3619;&#3634;&#3588;&#3634;&#3585;&#3621;&#3634;&#359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5">
          <cell r="D5">
            <v>0</v>
          </cell>
        </row>
        <row r="6">
          <cell r="D6">
            <v>0</v>
          </cell>
        </row>
      </sheetData>
      <sheetData sheetId="4">
        <row r="52">
          <cell r="G52">
            <v>5</v>
          </cell>
        </row>
        <row r="53">
          <cell r="G53">
            <v>5</v>
          </cell>
        </row>
        <row r="54">
          <cell r="G54">
            <v>5</v>
          </cell>
        </row>
        <row r="55">
          <cell r="G55">
            <v>4.5</v>
          </cell>
        </row>
        <row r="56">
          <cell r="G56">
            <v>4.5</v>
          </cell>
        </row>
        <row r="57">
          <cell r="G57">
            <v>4.5</v>
          </cell>
        </row>
        <row r="58">
          <cell r="G58">
            <v>4.5</v>
          </cell>
        </row>
        <row r="59">
          <cell r="G59">
            <v>4</v>
          </cell>
        </row>
        <row r="60">
          <cell r="G60">
            <v>4</v>
          </cell>
        </row>
        <row r="61">
          <cell r="G61">
            <v>4</v>
          </cell>
        </row>
        <row r="62">
          <cell r="G62">
            <v>4</v>
          </cell>
        </row>
        <row r="63">
          <cell r="G63">
            <v>4</v>
          </cell>
        </row>
        <row r="64">
          <cell r="G64">
            <v>4</v>
          </cell>
        </row>
        <row r="65">
          <cell r="G65">
            <v>4</v>
          </cell>
        </row>
        <row r="66">
          <cell r="G66">
            <v>4</v>
          </cell>
        </row>
        <row r="67">
          <cell r="G67">
            <v>3.5</v>
          </cell>
        </row>
        <row r="68">
          <cell r="G68">
            <v>3.5</v>
          </cell>
        </row>
        <row r="69">
          <cell r="G69">
            <v>3.5</v>
          </cell>
        </row>
        <row r="70">
          <cell r="G70">
            <v>3.5</v>
          </cell>
        </row>
        <row r="71">
          <cell r="G71">
            <v>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FACTOR F อาคาร"/>
      <sheetName val="DATA"/>
    </sheetNames>
    <sheetDataSet>
      <sheetData sheetId="1">
        <row r="3">
          <cell r="A3" t="str">
            <v>มหาวิทยาลัยราชภัฏอุตรดิตถ์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3" sqref="B13"/>
    </sheetView>
  </sheetViews>
  <sheetFormatPr defaultColWidth="9.140625" defaultRowHeight="21.75"/>
  <cols>
    <col min="1" max="16384" width="9.140625" style="2" customWidth="1"/>
  </cols>
  <sheetData>
    <row r="1" spans="2:10" ht="21.75">
      <c r="B1" s="1"/>
      <c r="C1" s="1"/>
      <c r="D1" s="1"/>
      <c r="E1" s="1"/>
      <c r="F1" s="1"/>
      <c r="G1" s="1"/>
      <c r="H1" s="1"/>
      <c r="I1" s="1"/>
      <c r="J1" s="1"/>
    </row>
    <row r="2" spans="2:10" ht="21.75">
      <c r="B2" s="1"/>
      <c r="C2" s="1"/>
      <c r="D2" s="1"/>
      <c r="E2" s="1"/>
      <c r="F2" s="1"/>
      <c r="G2" s="1"/>
      <c r="H2" s="1"/>
      <c r="I2" s="1"/>
      <c r="J2" s="1"/>
    </row>
    <row r="3" spans="2:10" ht="21.75">
      <c r="B3" s="1"/>
      <c r="C3" s="1"/>
      <c r="D3" s="1"/>
      <c r="E3" s="1"/>
      <c r="F3" s="1"/>
      <c r="G3" s="1"/>
      <c r="H3" s="1"/>
      <c r="I3" s="1"/>
      <c r="J3" s="1"/>
    </row>
    <row r="4" spans="2:10" ht="21.75">
      <c r="B4" s="1"/>
      <c r="C4" s="1"/>
      <c r="D4" s="1"/>
      <c r="E4" s="1"/>
      <c r="F4" s="1"/>
      <c r="G4" s="1"/>
      <c r="H4" s="1"/>
      <c r="I4" s="1"/>
      <c r="J4" s="1"/>
    </row>
    <row r="5" spans="2:10" ht="21.75">
      <c r="B5" s="1"/>
      <c r="C5" s="1"/>
      <c r="D5" s="1"/>
      <c r="E5" s="1"/>
      <c r="F5" s="1"/>
      <c r="G5" s="1"/>
      <c r="H5" s="1"/>
      <c r="I5" s="1"/>
      <c r="J5" s="1"/>
    </row>
    <row r="6" spans="2:10" ht="21.75">
      <c r="B6" s="1"/>
      <c r="C6" s="1"/>
      <c r="D6" s="1"/>
      <c r="E6" s="1"/>
      <c r="F6" s="1"/>
      <c r="G6" s="1"/>
      <c r="H6" s="1"/>
      <c r="I6" s="1"/>
      <c r="J6" s="1"/>
    </row>
    <row r="7" spans="2:10" ht="21.75">
      <c r="B7" s="1"/>
      <c r="C7" s="1"/>
      <c r="D7" s="1"/>
      <c r="E7" s="1"/>
      <c r="F7" s="1"/>
      <c r="G7" s="1"/>
      <c r="H7" s="1"/>
      <c r="I7" s="1"/>
      <c r="J7" s="1"/>
    </row>
    <row r="8" spans="2:10" ht="30.75">
      <c r="B8" s="195" t="s">
        <v>78</v>
      </c>
      <c r="C8" s="195"/>
      <c r="D8" s="195"/>
      <c r="E8" s="195"/>
      <c r="F8" s="195"/>
      <c r="G8" s="195"/>
      <c r="H8" s="195"/>
      <c r="I8" s="195"/>
      <c r="J8" s="3"/>
    </row>
    <row r="9" spans="2:10" ht="18.75">
      <c r="B9" s="1"/>
      <c r="C9" s="1"/>
      <c r="D9" s="1"/>
      <c r="E9" s="1"/>
      <c r="F9" s="1"/>
      <c r="G9" s="1"/>
      <c r="H9" s="1"/>
      <c r="I9" s="1"/>
      <c r="J9" s="1"/>
    </row>
    <row r="10" spans="2:10" ht="28.5">
      <c r="B10" s="196" t="str">
        <f>สรุป!A2</f>
        <v>ก่อสร้างหลังคาสนามกีฬาอเนกประสงค์</v>
      </c>
      <c r="C10" s="196"/>
      <c r="D10" s="196"/>
      <c r="E10" s="196"/>
      <c r="F10" s="196"/>
      <c r="G10" s="196"/>
      <c r="H10" s="196"/>
      <c r="I10" s="196"/>
      <c r="J10" s="4"/>
    </row>
    <row r="11" spans="2:10" ht="28.5">
      <c r="B11" s="196" t="s">
        <v>13</v>
      </c>
      <c r="C11" s="196"/>
      <c r="D11" s="196"/>
      <c r="E11" s="196"/>
      <c r="F11" s="196"/>
      <c r="G11" s="196"/>
      <c r="H11" s="196"/>
      <c r="I11" s="196"/>
      <c r="J11" s="4"/>
    </row>
    <row r="12" spans="2:10" ht="28.5">
      <c r="B12" s="196" t="s">
        <v>160</v>
      </c>
      <c r="C12" s="196"/>
      <c r="D12" s="196"/>
      <c r="E12" s="196"/>
      <c r="F12" s="196"/>
      <c r="G12" s="196"/>
      <c r="H12" s="196"/>
      <c r="I12" s="196"/>
      <c r="J12" s="4"/>
    </row>
    <row r="13" spans="2:10" ht="18.75">
      <c r="B13" s="1"/>
      <c r="C13" s="1"/>
      <c r="D13" s="1"/>
      <c r="E13" s="1"/>
      <c r="F13" s="1"/>
      <c r="G13" s="1"/>
      <c r="H13" s="1"/>
      <c r="I13" s="1"/>
      <c r="J13" s="1"/>
    </row>
    <row r="14" spans="2:10" ht="18.75">
      <c r="B14" s="1"/>
      <c r="C14" s="1"/>
      <c r="D14" s="1"/>
      <c r="E14" s="1"/>
      <c r="F14" s="1"/>
      <c r="G14" s="1"/>
      <c r="H14" s="1"/>
      <c r="I14" s="1"/>
      <c r="J14" s="1"/>
    </row>
    <row r="15" spans="2:10" ht="18.75">
      <c r="B15" s="1"/>
      <c r="C15" s="1"/>
      <c r="D15" s="1"/>
      <c r="E15" s="1"/>
      <c r="F15" s="1"/>
      <c r="G15" s="1"/>
      <c r="H15" s="1"/>
      <c r="I15" s="1"/>
      <c r="J15" s="1"/>
    </row>
    <row r="16" spans="2:10" ht="18.75">
      <c r="B16" s="1"/>
      <c r="C16" s="1"/>
      <c r="D16" s="1"/>
      <c r="E16" s="1"/>
      <c r="F16" s="1"/>
      <c r="G16" s="1"/>
      <c r="H16" s="1"/>
      <c r="I16" s="1"/>
      <c r="J16" s="1"/>
    </row>
    <row r="17" spans="2:10" ht="18.75">
      <c r="B17" s="1"/>
      <c r="C17" s="1"/>
      <c r="D17" s="1"/>
      <c r="E17" s="1"/>
      <c r="F17" s="1"/>
      <c r="G17" s="1"/>
      <c r="H17" s="1"/>
      <c r="I17" s="1"/>
      <c r="J17" s="1"/>
    </row>
    <row r="18" spans="2:10" ht="18.75">
      <c r="B18" s="1"/>
      <c r="C18" s="1"/>
      <c r="D18" s="1"/>
      <c r="E18" s="1"/>
      <c r="F18" s="1"/>
      <c r="G18" s="1"/>
      <c r="H18" s="1"/>
      <c r="I18" s="1"/>
      <c r="J18" s="1"/>
    </row>
    <row r="19" spans="2:10" ht="18.75">
      <c r="B19" s="1"/>
      <c r="C19" s="1"/>
      <c r="D19" s="1"/>
      <c r="E19" s="1"/>
      <c r="F19" s="1"/>
      <c r="G19" s="1"/>
      <c r="H19" s="1"/>
      <c r="I19" s="1"/>
      <c r="J19" s="1"/>
    </row>
    <row r="20" spans="2:10" ht="18.75">
      <c r="B20" s="1"/>
      <c r="C20" s="1"/>
      <c r="D20" s="1"/>
      <c r="E20" s="1"/>
      <c r="F20" s="1"/>
      <c r="G20" s="1"/>
      <c r="H20" s="1"/>
      <c r="I20" s="1"/>
      <c r="J20" s="1"/>
    </row>
    <row r="21" spans="2:10" ht="18.75">
      <c r="B21" s="1"/>
      <c r="C21" s="1"/>
      <c r="D21" s="1"/>
      <c r="E21" s="1"/>
      <c r="F21" s="1"/>
      <c r="G21" s="1"/>
      <c r="H21" s="1"/>
      <c r="I21" s="1"/>
      <c r="J21" s="1"/>
    </row>
    <row r="22" spans="2:10" ht="23.25">
      <c r="B22" s="197" t="s">
        <v>17</v>
      </c>
      <c r="C22" s="197"/>
      <c r="D22" s="197"/>
      <c r="E22" s="197"/>
      <c r="F22" s="197"/>
      <c r="G22" s="197"/>
      <c r="H22" s="197"/>
      <c r="I22" s="197"/>
      <c r="J22" s="5"/>
    </row>
    <row r="23" spans="2:10" ht="23.25">
      <c r="B23" s="6"/>
      <c r="C23" s="6"/>
      <c r="D23" s="6"/>
      <c r="E23" s="6"/>
      <c r="F23" s="6"/>
      <c r="G23" s="6"/>
      <c r="H23" s="6"/>
      <c r="I23" s="6"/>
      <c r="J23" s="6"/>
    </row>
    <row r="24" spans="2:10" ht="27.75">
      <c r="B24" s="194" t="s">
        <v>122</v>
      </c>
      <c r="C24" s="194"/>
      <c r="D24" s="194"/>
      <c r="E24" s="194"/>
      <c r="F24" s="194"/>
      <c r="G24" s="194"/>
      <c r="H24" s="194"/>
      <c r="I24" s="194"/>
      <c r="J24" s="8"/>
    </row>
    <row r="25" spans="2:10" ht="27.75">
      <c r="B25" s="194" t="s">
        <v>74</v>
      </c>
      <c r="C25" s="194"/>
      <c r="D25" s="194"/>
      <c r="E25" s="194"/>
      <c r="F25" s="194"/>
      <c r="G25" s="194"/>
      <c r="H25" s="194"/>
      <c r="I25" s="194"/>
      <c r="J25" s="8"/>
    </row>
    <row r="26" spans="2:10" ht="27.75">
      <c r="B26" s="194" t="s">
        <v>13</v>
      </c>
      <c r="C26" s="194"/>
      <c r="D26" s="194"/>
      <c r="E26" s="194"/>
      <c r="F26" s="194"/>
      <c r="G26" s="194"/>
      <c r="H26" s="194"/>
      <c r="I26" s="194"/>
      <c r="J26" s="8"/>
    </row>
    <row r="27" spans="2:10" ht="27.75">
      <c r="B27" s="7"/>
      <c r="C27" s="7"/>
      <c r="D27" s="7"/>
      <c r="E27" s="7"/>
      <c r="F27" s="7"/>
      <c r="G27" s="7"/>
      <c r="H27" s="7"/>
      <c r="I27" s="7"/>
      <c r="J27" s="8"/>
    </row>
    <row r="28" spans="2:10" ht="27.75">
      <c r="B28" s="7"/>
      <c r="C28" s="7"/>
      <c r="D28" s="7"/>
      <c r="E28" s="7"/>
      <c r="F28" s="7"/>
      <c r="G28" s="7"/>
      <c r="H28" s="7"/>
      <c r="I28" s="7"/>
      <c r="J28" s="8"/>
    </row>
    <row r="29" spans="2:10" ht="27.75">
      <c r="B29" s="7"/>
      <c r="C29" s="7"/>
      <c r="D29" s="7"/>
      <c r="E29" s="7"/>
      <c r="F29" s="7"/>
      <c r="G29" s="7"/>
      <c r="H29" s="7"/>
      <c r="I29" s="7"/>
      <c r="J29" s="8"/>
    </row>
    <row r="30" spans="2:10" ht="18.75">
      <c r="B30" s="1"/>
      <c r="C30" s="1"/>
      <c r="D30" s="1"/>
      <c r="E30" s="1"/>
      <c r="F30" s="1"/>
      <c r="G30" s="1"/>
      <c r="H30" s="1"/>
      <c r="I30" s="1"/>
      <c r="J30" s="1"/>
    </row>
    <row r="31" spans="1:10" ht="18.75">
      <c r="A31" s="9"/>
      <c r="B31" s="9"/>
      <c r="C31" s="9"/>
      <c r="D31" s="9"/>
      <c r="E31" s="9"/>
      <c r="F31" s="9"/>
      <c r="G31" s="9"/>
      <c r="H31" s="9"/>
      <c r="I31" s="9"/>
      <c r="J31" s="9"/>
    </row>
  </sheetData>
  <sheetProtection/>
  <mergeCells count="8">
    <mergeCell ref="B26:I26"/>
    <mergeCell ref="B8:I8"/>
    <mergeCell ref="B10:I10"/>
    <mergeCell ref="B11:I11"/>
    <mergeCell ref="B22:I22"/>
    <mergeCell ref="B24:I24"/>
    <mergeCell ref="B25:I25"/>
    <mergeCell ref="B12:I1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&amp;C&amp;"TH Sarabun New,ธรรมดา"งานโยธาและสถาปัตยกรรม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zoomScalePageLayoutView="0" workbookViewId="0" topLeftCell="A1">
      <selection activeCell="R13" sqref="R13"/>
    </sheetView>
  </sheetViews>
  <sheetFormatPr defaultColWidth="9.140625" defaultRowHeight="21.75"/>
  <cols>
    <col min="1" max="1" width="7.421875" style="148" customWidth="1"/>
    <col min="2" max="2" width="11.28125" style="148" customWidth="1"/>
    <col min="3" max="3" width="2.8515625" style="148" customWidth="1"/>
    <col min="4" max="4" width="8.8515625" style="148" customWidth="1"/>
    <col min="5" max="5" width="19.57421875" style="148" customWidth="1"/>
    <col min="6" max="8" width="8.7109375" style="148" customWidth="1"/>
    <col min="9" max="9" width="20.8515625" style="148" customWidth="1"/>
    <col min="10" max="10" width="9.140625" style="148" customWidth="1"/>
    <col min="11" max="11" width="15.140625" style="149" bestFit="1" customWidth="1"/>
    <col min="12" max="16384" width="9.140625" style="148" customWidth="1"/>
  </cols>
  <sheetData>
    <row r="1" spans="1:9" ht="27">
      <c r="A1" s="223" t="s">
        <v>20</v>
      </c>
      <c r="B1" s="223"/>
      <c r="C1" s="223"/>
      <c r="D1" s="223"/>
      <c r="E1" s="223"/>
      <c r="F1" s="223"/>
      <c r="G1" s="223"/>
      <c r="H1" s="223"/>
      <c r="I1" s="223"/>
    </row>
    <row r="2" spans="1:9" ht="24">
      <c r="A2" s="224" t="s">
        <v>123</v>
      </c>
      <c r="B2" s="224"/>
      <c r="C2" s="224"/>
      <c r="D2" s="224"/>
      <c r="E2" s="224"/>
      <c r="F2" s="224"/>
      <c r="G2" s="224"/>
      <c r="H2" s="224"/>
      <c r="I2" s="224"/>
    </row>
    <row r="3" spans="1:9" ht="24">
      <c r="A3" s="224" t="s">
        <v>13</v>
      </c>
      <c r="B3" s="224"/>
      <c r="C3" s="224"/>
      <c r="D3" s="224"/>
      <c r="E3" s="224"/>
      <c r="F3" s="224"/>
      <c r="G3" s="224"/>
      <c r="H3" s="224"/>
      <c r="I3" s="224"/>
    </row>
    <row r="4" spans="1:9" ht="21.75">
      <c r="A4" s="150" t="s">
        <v>0</v>
      </c>
      <c r="B4" s="225" t="s">
        <v>1</v>
      </c>
      <c r="C4" s="226"/>
      <c r="D4" s="226"/>
      <c r="E4" s="227"/>
      <c r="F4" s="228" t="s">
        <v>11</v>
      </c>
      <c r="G4" s="228"/>
      <c r="H4" s="228"/>
      <c r="I4" s="150" t="s">
        <v>9</v>
      </c>
    </row>
    <row r="5" spans="1:9" ht="21.75">
      <c r="A5" s="150">
        <v>1</v>
      </c>
      <c r="B5" s="231" t="s">
        <v>25</v>
      </c>
      <c r="C5" s="232"/>
      <c r="D5" s="232"/>
      <c r="E5" s="233"/>
      <c r="F5" s="225"/>
      <c r="G5" s="226"/>
      <c r="H5" s="227"/>
      <c r="I5" s="151"/>
    </row>
    <row r="6" spans="1:11" ht="21.75">
      <c r="A6" s="152"/>
      <c r="B6" s="220" t="s">
        <v>26</v>
      </c>
      <c r="C6" s="221"/>
      <c r="D6" s="221"/>
      <c r="E6" s="222"/>
      <c r="F6" s="217">
        <f>สรุปวัสดุ!E13</f>
        <v>13502229.577839999</v>
      </c>
      <c r="G6" s="218"/>
      <c r="H6" s="219"/>
      <c r="I6" s="153"/>
      <c r="K6" s="149" t="s">
        <v>73</v>
      </c>
    </row>
    <row r="7" spans="1:9" ht="21.75">
      <c r="A7" s="152"/>
      <c r="B7" s="220" t="s">
        <v>27</v>
      </c>
      <c r="C7" s="221"/>
      <c r="D7" s="221"/>
      <c r="E7" s="222"/>
      <c r="F7" s="217">
        <f>สรุปวัสดุ!F13</f>
        <v>4475092.365499999</v>
      </c>
      <c r="G7" s="218"/>
      <c r="H7" s="219"/>
      <c r="I7" s="153"/>
    </row>
    <row r="8" spans="1:9" ht="22.5" thickBot="1">
      <c r="A8" s="154"/>
      <c r="B8" s="201" t="s">
        <v>68</v>
      </c>
      <c r="C8" s="202"/>
      <c r="D8" s="202"/>
      <c r="E8" s="216"/>
      <c r="F8" s="198">
        <f>สรุปวัสดุ!G13</f>
        <v>17977321.94334</v>
      </c>
      <c r="G8" s="199"/>
      <c r="H8" s="200"/>
      <c r="I8" s="155"/>
    </row>
    <row r="9" spans="1:9" ht="23.25" thickBot="1" thickTop="1">
      <c r="A9" s="156">
        <f>A5+1</f>
        <v>2</v>
      </c>
      <c r="B9" s="157" t="s">
        <v>70</v>
      </c>
      <c r="C9" s="158" t="s">
        <v>15</v>
      </c>
      <c r="D9" s="159">
        <f>'FACTOR F อาคาร'!H22</f>
        <v>1.2566</v>
      </c>
      <c r="E9" s="160"/>
      <c r="F9" s="213">
        <f>F8*D9</f>
        <v>22590302.754001044</v>
      </c>
      <c r="G9" s="229"/>
      <c r="H9" s="230"/>
      <c r="I9" s="161" t="s">
        <v>71</v>
      </c>
    </row>
    <row r="10" spans="1:9" ht="22.5" thickTop="1">
      <c r="A10" s="150">
        <f>A9+1</f>
        <v>3</v>
      </c>
      <c r="B10" s="231" t="s">
        <v>28</v>
      </c>
      <c r="C10" s="232"/>
      <c r="D10" s="232"/>
      <c r="E10" s="233"/>
      <c r="F10" s="217"/>
      <c r="G10" s="218"/>
      <c r="H10" s="219"/>
      <c r="I10" s="162"/>
    </row>
    <row r="11" spans="1:9" ht="21.75">
      <c r="A11" s="152"/>
      <c r="B11" s="220"/>
      <c r="C11" s="221"/>
      <c r="D11" s="221"/>
      <c r="E11" s="222"/>
      <c r="F11" s="217"/>
      <c r="G11" s="218"/>
      <c r="H11" s="219"/>
      <c r="I11" s="163"/>
    </row>
    <row r="12" spans="1:9" ht="21.75">
      <c r="A12" s="152"/>
      <c r="B12" s="220" t="s">
        <v>150</v>
      </c>
      <c r="C12" s="221"/>
      <c r="D12" s="221"/>
      <c r="E12" s="222"/>
      <c r="F12" s="217">
        <f>รายละเอียด!I99</f>
        <v>413100</v>
      </c>
      <c r="G12" s="218"/>
      <c r="H12" s="219"/>
      <c r="I12" s="163"/>
    </row>
    <row r="13" spans="1:9" ht="21.75">
      <c r="A13" s="152"/>
      <c r="B13" s="220"/>
      <c r="C13" s="221"/>
      <c r="D13" s="221"/>
      <c r="E13" s="222"/>
      <c r="F13" s="217"/>
      <c r="G13" s="218"/>
      <c r="H13" s="219"/>
      <c r="I13" s="163"/>
    </row>
    <row r="14" spans="1:9" ht="21.75">
      <c r="A14" s="152"/>
      <c r="B14" s="220"/>
      <c r="C14" s="221"/>
      <c r="D14" s="221"/>
      <c r="E14" s="222"/>
      <c r="F14" s="217"/>
      <c r="G14" s="218"/>
      <c r="H14" s="219"/>
      <c r="I14" s="163"/>
    </row>
    <row r="15" spans="1:9" ht="21.75">
      <c r="A15" s="152"/>
      <c r="B15" s="220"/>
      <c r="C15" s="221"/>
      <c r="D15" s="221"/>
      <c r="E15" s="222"/>
      <c r="F15" s="217"/>
      <c r="G15" s="218"/>
      <c r="H15" s="219"/>
      <c r="I15" s="163"/>
    </row>
    <row r="16" spans="1:9" ht="22.5" thickBot="1">
      <c r="A16" s="154"/>
      <c r="B16" s="201" t="s">
        <v>69</v>
      </c>
      <c r="C16" s="202"/>
      <c r="D16" s="202"/>
      <c r="E16" s="202"/>
      <c r="F16" s="198">
        <f>SUM(F12:H15)</f>
        <v>413100</v>
      </c>
      <c r="G16" s="199"/>
      <c r="H16" s="200"/>
      <c r="I16" s="161"/>
    </row>
    <row r="17" spans="1:9" ht="23.25" thickBot="1" thickTop="1">
      <c r="A17" s="154">
        <f>A10+1</f>
        <v>4</v>
      </c>
      <c r="B17" s="201" t="s">
        <v>16</v>
      </c>
      <c r="C17" s="202"/>
      <c r="D17" s="202"/>
      <c r="E17" s="216"/>
      <c r="F17" s="198">
        <f>SUM(F9+F16)</f>
        <v>23003402.754001044</v>
      </c>
      <c r="G17" s="199"/>
      <c r="H17" s="200"/>
      <c r="I17" s="161" t="s">
        <v>72</v>
      </c>
    </row>
    <row r="18" spans="1:9" ht="23.25" thickBot="1" thickTop="1">
      <c r="A18" s="164">
        <f>SUM(A17+1)</f>
        <v>5</v>
      </c>
      <c r="B18" s="210" t="s">
        <v>75</v>
      </c>
      <c r="C18" s="211"/>
      <c r="D18" s="211"/>
      <c r="E18" s="212"/>
      <c r="F18" s="213">
        <f>INT(F17/1000000)*1000000</f>
        <v>23000000</v>
      </c>
      <c r="G18" s="214"/>
      <c r="H18" s="215"/>
      <c r="I18" s="165"/>
    </row>
    <row r="19" spans="1:9" ht="26.25" customHeight="1" thickTop="1">
      <c r="A19" s="207" t="str">
        <f>"("&amp;_xlfn.BAHTTEXT(F18)&amp;")"</f>
        <v>(ยี่สิบสามล้านบาทถ้วน)</v>
      </c>
      <c r="B19" s="208"/>
      <c r="C19" s="208"/>
      <c r="D19" s="208"/>
      <c r="E19" s="208"/>
      <c r="F19" s="208"/>
      <c r="G19" s="208"/>
      <c r="H19" s="208"/>
      <c r="I19" s="209"/>
    </row>
    <row r="20" spans="2:9" ht="21.75">
      <c r="B20" s="166"/>
      <c r="C20" s="166"/>
      <c r="D20" s="166"/>
      <c r="E20" s="166"/>
      <c r="F20" s="166"/>
      <c r="G20" s="166"/>
      <c r="H20" s="166"/>
      <c r="I20" s="167"/>
    </row>
    <row r="21" spans="5:9" ht="21.75">
      <c r="E21" s="191"/>
      <c r="F21" s="168"/>
      <c r="G21" s="206"/>
      <c r="H21" s="206"/>
      <c r="I21" s="206"/>
    </row>
    <row r="22" spans="5:9" ht="21.75">
      <c r="E22" s="192"/>
      <c r="G22" s="204"/>
      <c r="H22" s="205"/>
      <c r="I22" s="205"/>
    </row>
    <row r="23" spans="7:9" ht="21.75">
      <c r="G23" s="203"/>
      <c r="H23" s="203"/>
      <c r="I23" s="203"/>
    </row>
    <row r="24" spans="2:4" ht="21.75">
      <c r="B24" s="169"/>
      <c r="C24" s="149"/>
      <c r="D24" s="149"/>
    </row>
    <row r="25" spans="2:6" ht="21.75">
      <c r="B25" s="169"/>
      <c r="F25" s="149"/>
    </row>
    <row r="26" spans="2:6" ht="21.75">
      <c r="B26" s="149"/>
      <c r="F26" s="149"/>
    </row>
  </sheetData>
  <sheetProtection formatCells="0" formatColumns="0" formatRows="0" insertColumns="0" insertRows="0" insertHyperlinks="0" deleteColumns="0" deleteRows="0" selectLockedCells="1" sort="0" autoFilter="0" pivotTables="0"/>
  <mergeCells count="36">
    <mergeCell ref="B5:E5"/>
    <mergeCell ref="B7:E7"/>
    <mergeCell ref="B8:E8"/>
    <mergeCell ref="F5:H5"/>
    <mergeCell ref="F6:H6"/>
    <mergeCell ref="B6:E6"/>
    <mergeCell ref="F7:H7"/>
    <mergeCell ref="F8:H8"/>
    <mergeCell ref="A1:I1"/>
    <mergeCell ref="A2:I2"/>
    <mergeCell ref="B4:E4"/>
    <mergeCell ref="F4:H4"/>
    <mergeCell ref="A3:I3"/>
    <mergeCell ref="B12:E12"/>
    <mergeCell ref="F9:H9"/>
    <mergeCell ref="F12:H12"/>
    <mergeCell ref="B10:E10"/>
    <mergeCell ref="B11:E11"/>
    <mergeCell ref="F11:H11"/>
    <mergeCell ref="F10:H10"/>
    <mergeCell ref="B13:E13"/>
    <mergeCell ref="F16:H16"/>
    <mergeCell ref="B15:E15"/>
    <mergeCell ref="F13:H13"/>
    <mergeCell ref="F15:H15"/>
    <mergeCell ref="B14:E14"/>
    <mergeCell ref="F14:H14"/>
    <mergeCell ref="F17:H17"/>
    <mergeCell ref="B16:E16"/>
    <mergeCell ref="G23:I23"/>
    <mergeCell ref="G22:I22"/>
    <mergeCell ref="G21:I21"/>
    <mergeCell ref="A19:I19"/>
    <mergeCell ref="B18:E18"/>
    <mergeCell ref="F18:H18"/>
    <mergeCell ref="B17:E17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&amp;R&amp;"TH Sarabun New,ธรรมดา"ปร.6 &amp;P/&amp;N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N16" sqref="N16"/>
    </sheetView>
  </sheetViews>
  <sheetFormatPr defaultColWidth="9.140625" defaultRowHeight="21.75"/>
  <cols>
    <col min="1" max="1" width="7.421875" style="125" customWidth="1"/>
    <col min="2" max="2" width="20.421875" style="125" customWidth="1"/>
    <col min="3" max="3" width="2.421875" style="125" customWidth="1"/>
    <col min="4" max="4" width="7.57421875" style="125" customWidth="1"/>
    <col min="5" max="6" width="15.7109375" style="125" customWidth="1"/>
    <col min="7" max="7" width="19.8515625" style="125" customWidth="1"/>
    <col min="8" max="8" width="15.7109375" style="125" customWidth="1"/>
    <col min="9" max="9" width="9.140625" style="125" customWidth="1"/>
    <col min="10" max="10" width="13.140625" style="125" bestFit="1" customWidth="1"/>
    <col min="11" max="16384" width="9.140625" style="125" customWidth="1"/>
  </cols>
  <sheetData>
    <row r="1" spans="1:8" ht="27">
      <c r="A1" s="247" t="s">
        <v>18</v>
      </c>
      <c r="B1" s="247"/>
      <c r="C1" s="247"/>
      <c r="D1" s="247"/>
      <c r="E1" s="247"/>
      <c r="F1" s="247"/>
      <c r="G1" s="247"/>
      <c r="H1" s="247"/>
    </row>
    <row r="2" spans="1:8" ht="24">
      <c r="A2" s="248" t="str">
        <f>(สรุป!A2)</f>
        <v>ก่อสร้างหลังคาสนามกีฬาอเนกประสงค์</v>
      </c>
      <c r="B2" s="248"/>
      <c r="C2" s="248"/>
      <c r="D2" s="248"/>
      <c r="E2" s="248"/>
      <c r="F2" s="248"/>
      <c r="G2" s="248"/>
      <c r="H2" s="248"/>
    </row>
    <row r="3" spans="1:8" ht="24">
      <c r="A3" s="248" t="str">
        <f>(สรุป!A3)</f>
        <v>มหาวิทยาลัยราชภัฏอุตรดิตถ์</v>
      </c>
      <c r="B3" s="248"/>
      <c r="C3" s="248"/>
      <c r="D3" s="248"/>
      <c r="E3" s="248"/>
      <c r="F3" s="248"/>
      <c r="G3" s="248"/>
      <c r="H3" s="248"/>
    </row>
    <row r="4" spans="1:8" ht="21.75">
      <c r="A4" s="126" t="s">
        <v>0</v>
      </c>
      <c r="B4" s="249" t="s">
        <v>1</v>
      </c>
      <c r="C4" s="250"/>
      <c r="D4" s="251"/>
      <c r="E4" s="127" t="s">
        <v>4</v>
      </c>
      <c r="F4" s="126" t="s">
        <v>14</v>
      </c>
      <c r="G4" s="126" t="s">
        <v>22</v>
      </c>
      <c r="H4" s="126" t="s">
        <v>23</v>
      </c>
    </row>
    <row r="5" spans="1:8" ht="21.75">
      <c r="A5" s="128"/>
      <c r="B5" s="244"/>
      <c r="C5" s="245"/>
      <c r="D5" s="246"/>
      <c r="E5" s="129" t="s">
        <v>11</v>
      </c>
      <c r="F5" s="129" t="s">
        <v>11</v>
      </c>
      <c r="G5" s="129" t="s">
        <v>11</v>
      </c>
      <c r="H5" s="130"/>
    </row>
    <row r="6" spans="1:10" ht="21.75">
      <c r="A6" s="131">
        <v>1</v>
      </c>
      <c r="B6" s="132" t="str">
        <f>รายละเอียด!B6</f>
        <v>งานเสริมความแข็งแรงโครงสร้าง</v>
      </c>
      <c r="C6" s="133"/>
      <c r="D6" s="134"/>
      <c r="E6" s="135">
        <f>รายละเอียด!F22</f>
        <v>1990111.393</v>
      </c>
      <c r="F6" s="135">
        <f>รายละเอียด!H22</f>
        <v>437475.2</v>
      </c>
      <c r="G6" s="136">
        <f>รายละเอียด!I22</f>
        <v>2427586.5930000003</v>
      </c>
      <c r="H6" s="137">
        <f aca="true" t="shared" si="0" ref="H6:H11">IF(((E6+F6)=G6),G6/E$14,"Try again")</f>
        <v>0.13503605268076876</v>
      </c>
      <c r="I6" s="138"/>
      <c r="J6" s="138"/>
    </row>
    <row r="7" spans="1:10" ht="21.75">
      <c r="A7" s="131">
        <v>2</v>
      </c>
      <c r="B7" s="132" t="str">
        <f>รายละเอียด!B23</f>
        <v>งานหลังคา</v>
      </c>
      <c r="C7" s="133"/>
      <c r="D7" s="134"/>
      <c r="E7" s="135">
        <f>รายละเอียด!F45</f>
        <v>7243082.4248399995</v>
      </c>
      <c r="F7" s="135">
        <f>รายละเอียด!H45</f>
        <v>3041198.1654999997</v>
      </c>
      <c r="G7" s="136">
        <f>รายละเอียด!I45</f>
        <v>10284280.59034</v>
      </c>
      <c r="H7" s="137">
        <f t="shared" si="0"/>
        <v>0.5720696677043148</v>
      </c>
      <c r="I7" s="138"/>
      <c r="J7" s="138"/>
    </row>
    <row r="8" spans="1:10" ht="21.75">
      <c r="A8" s="131">
        <v>3</v>
      </c>
      <c r="B8" s="139" t="str">
        <f>รายละเอียด!B46</f>
        <v>งานระบบไฟฟ้า</v>
      </c>
      <c r="C8" s="133"/>
      <c r="D8" s="134"/>
      <c r="E8" s="135">
        <f>รายละเอียด!F60</f>
        <v>755883.12</v>
      </c>
      <c r="F8" s="135">
        <f>รายละเอียด!H60</f>
        <v>122588</v>
      </c>
      <c r="G8" s="136">
        <f>รายละเอียด!I60</f>
        <v>878471.12</v>
      </c>
      <c r="H8" s="137">
        <f t="shared" si="0"/>
        <v>0.04886551638607353</v>
      </c>
      <c r="I8" s="138"/>
      <c r="J8" s="138"/>
    </row>
    <row r="9" spans="1:10" ht="21.75">
      <c r="A9" s="131">
        <v>4</v>
      </c>
      <c r="B9" s="139" t="str">
        <f>รายละเอียด!B61</f>
        <v>งานปรับปรุงพื้นสนาม</v>
      </c>
      <c r="C9" s="133"/>
      <c r="D9" s="134"/>
      <c r="E9" s="135">
        <f>รายละเอียด!F71</f>
        <v>3366402.64</v>
      </c>
      <c r="F9" s="135">
        <f>รายละเอียด!H71</f>
        <v>749066</v>
      </c>
      <c r="G9" s="136">
        <f>รายละเอียด!I71</f>
        <v>4115468.64</v>
      </c>
      <c r="H9" s="137">
        <f t="shared" si="0"/>
        <v>0.22892556816698967</v>
      </c>
      <c r="I9" s="138"/>
      <c r="J9" s="138"/>
    </row>
    <row r="10" spans="1:10" ht="21.75">
      <c r="A10" s="131">
        <v>5</v>
      </c>
      <c r="B10" s="139" t="str">
        <f>รายละเอียด!B72</f>
        <v>งานรื้อถอน</v>
      </c>
      <c r="C10" s="133"/>
      <c r="D10" s="134"/>
      <c r="E10" s="135">
        <f>รายละเอียด!F79</f>
        <v>3000</v>
      </c>
      <c r="F10" s="135">
        <f>รายละเอียด!H79</f>
        <v>32465</v>
      </c>
      <c r="G10" s="136">
        <f>รายละเอียด!I79</f>
        <v>35465</v>
      </c>
      <c r="H10" s="137">
        <f t="shared" si="0"/>
        <v>0.0019727632464822493</v>
      </c>
      <c r="I10" s="138"/>
      <c r="J10" s="138"/>
    </row>
    <row r="11" spans="1:10" ht="21.75">
      <c r="A11" s="131">
        <v>6</v>
      </c>
      <c r="B11" s="139" t="str">
        <f>รายละเอียด!B80</f>
        <v>งานอื่นๆ</v>
      </c>
      <c r="C11" s="133"/>
      <c r="D11" s="134"/>
      <c r="E11" s="135">
        <f>รายละเอียด!F89</f>
        <v>143750</v>
      </c>
      <c r="F11" s="135">
        <f>รายละเอียด!H89</f>
        <v>92300</v>
      </c>
      <c r="G11" s="136">
        <f>รายละเอียด!I89</f>
        <v>236050</v>
      </c>
      <c r="H11" s="137">
        <f t="shared" si="0"/>
        <v>0.013130431815371069</v>
      </c>
      <c r="I11" s="138"/>
      <c r="J11" s="138"/>
    </row>
    <row r="12" spans="1:10" ht="21.75">
      <c r="A12" s="131"/>
      <c r="B12" s="140"/>
      <c r="C12" s="133"/>
      <c r="D12" s="134"/>
      <c r="E12" s="135"/>
      <c r="F12" s="135"/>
      <c r="G12" s="136"/>
      <c r="H12" s="137"/>
      <c r="I12" s="138"/>
      <c r="J12" s="138"/>
    </row>
    <row r="13" spans="1:8" ht="21.75">
      <c r="A13" s="131"/>
      <c r="B13" s="238" t="s">
        <v>21</v>
      </c>
      <c r="C13" s="239"/>
      <c r="D13" s="240"/>
      <c r="E13" s="141">
        <f>SUM(E6:E12)</f>
        <v>13502229.577839999</v>
      </c>
      <c r="F13" s="141">
        <f>SUM(F6:F12)</f>
        <v>4475092.365499999</v>
      </c>
      <c r="G13" s="141">
        <f>SUM(G6:G12)</f>
        <v>17977321.94334</v>
      </c>
      <c r="H13" s="142">
        <f>SUM(H6:H12)</f>
        <v>1</v>
      </c>
    </row>
    <row r="14" spans="1:10" ht="24">
      <c r="A14" s="131"/>
      <c r="B14" s="241" t="s">
        <v>12</v>
      </c>
      <c r="C14" s="242"/>
      <c r="D14" s="243"/>
      <c r="E14" s="234">
        <f>IF((E13+F13)=G13,G13,"Try again")</f>
        <v>17977321.94334</v>
      </c>
      <c r="F14" s="235"/>
      <c r="G14" s="236" t="s">
        <v>10</v>
      </c>
      <c r="H14" s="237"/>
      <c r="J14" s="138"/>
    </row>
    <row r="15" spans="1:8" ht="24">
      <c r="A15" s="143"/>
      <c r="B15" s="144"/>
      <c r="C15" s="144"/>
      <c r="D15" s="144"/>
      <c r="E15" s="145"/>
      <c r="F15" s="145"/>
      <c r="G15" s="145"/>
      <c r="H15" s="146"/>
    </row>
    <row r="16" spans="1:8" ht="24">
      <c r="A16" s="143"/>
      <c r="B16" s="144"/>
      <c r="C16" s="144"/>
      <c r="D16" s="144"/>
      <c r="E16" s="145"/>
      <c r="F16" s="147"/>
      <c r="G16" s="145"/>
      <c r="H16" s="146"/>
    </row>
    <row r="17" spans="1:8" ht="24">
      <c r="A17" s="143"/>
      <c r="B17" s="144"/>
      <c r="C17" s="144"/>
      <c r="D17" s="144"/>
      <c r="E17" s="145"/>
      <c r="F17" s="147"/>
      <c r="G17" s="145"/>
      <c r="H17" s="146"/>
    </row>
    <row r="18" spans="2:3" ht="21.75">
      <c r="B18" s="138"/>
      <c r="C18" s="138"/>
    </row>
    <row r="19" ht="21.75">
      <c r="E19" s="138"/>
    </row>
    <row r="20" ht="21.75">
      <c r="E20" s="138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E14:F14"/>
    <mergeCell ref="G14:H14"/>
    <mergeCell ref="B13:D13"/>
    <mergeCell ref="B14:D14"/>
    <mergeCell ref="B5:D5"/>
    <mergeCell ref="A1:H1"/>
    <mergeCell ref="A2:H2"/>
    <mergeCell ref="A3:H3"/>
    <mergeCell ref="B4:D4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&amp;R&amp;"TH Sarabun New,ธรรมดา"ปร.5 &amp;P/&amp;N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105"/>
  <sheetViews>
    <sheetView zoomScalePageLayoutView="0" workbookViewId="0" topLeftCell="A76">
      <selection activeCell="V27" sqref="V27"/>
    </sheetView>
  </sheetViews>
  <sheetFormatPr defaultColWidth="9.140625" defaultRowHeight="21.75"/>
  <cols>
    <col min="1" max="1" width="5.421875" style="123" customWidth="1"/>
    <col min="2" max="2" width="21.7109375" style="78" customWidth="1"/>
    <col min="3" max="3" width="10.7109375" style="124" customWidth="1"/>
    <col min="4" max="4" width="6.00390625" style="123" customWidth="1"/>
    <col min="5" max="5" width="10.7109375" style="124" customWidth="1"/>
    <col min="6" max="6" width="14.57421875" style="124" customWidth="1"/>
    <col min="7" max="7" width="11.421875" style="124" customWidth="1"/>
    <col min="8" max="8" width="13.57421875" style="124" customWidth="1"/>
    <col min="9" max="9" width="14.7109375" style="124" customWidth="1"/>
    <col min="10" max="16384" width="9.140625" style="78" customWidth="1"/>
  </cols>
  <sheetData>
    <row r="1" spans="1:9" ht="27">
      <c r="A1" s="254" t="s">
        <v>19</v>
      </c>
      <c r="B1" s="254"/>
      <c r="C1" s="254"/>
      <c r="D1" s="254"/>
      <c r="E1" s="254"/>
      <c r="F1" s="254"/>
      <c r="G1" s="254"/>
      <c r="H1" s="254"/>
      <c r="I1" s="254"/>
    </row>
    <row r="2" spans="1:9" ht="24">
      <c r="A2" s="255" t="str">
        <f>(สรุป!A2)</f>
        <v>ก่อสร้างหลังคาสนามกีฬาอเนกประสงค์</v>
      </c>
      <c r="B2" s="255"/>
      <c r="C2" s="255"/>
      <c r="D2" s="255"/>
      <c r="E2" s="255"/>
      <c r="F2" s="255"/>
      <c r="G2" s="255"/>
      <c r="H2" s="255"/>
      <c r="I2" s="255"/>
    </row>
    <row r="3" spans="1:9" ht="24">
      <c r="A3" s="255" t="str">
        <f>(สรุป!A3)</f>
        <v>มหาวิทยาลัยราชภัฏอุตรดิตถ์</v>
      </c>
      <c r="B3" s="255"/>
      <c r="C3" s="255"/>
      <c r="D3" s="255"/>
      <c r="E3" s="255"/>
      <c r="F3" s="255"/>
      <c r="G3" s="255"/>
      <c r="H3" s="255"/>
      <c r="I3" s="255"/>
    </row>
    <row r="4" spans="1:9" ht="21.75">
      <c r="A4" s="79" t="s">
        <v>0</v>
      </c>
      <c r="B4" s="79" t="s">
        <v>1</v>
      </c>
      <c r="C4" s="80" t="s">
        <v>2</v>
      </c>
      <c r="D4" s="79" t="s">
        <v>3</v>
      </c>
      <c r="E4" s="252" t="s">
        <v>4</v>
      </c>
      <c r="F4" s="253"/>
      <c r="G4" s="252" t="s">
        <v>5</v>
      </c>
      <c r="H4" s="253"/>
      <c r="I4" s="81" t="s">
        <v>6</v>
      </c>
    </row>
    <row r="5" spans="1:9" ht="21.75">
      <c r="A5" s="82"/>
      <c r="B5" s="82"/>
      <c r="C5" s="83"/>
      <c r="D5" s="82"/>
      <c r="E5" s="84" t="s">
        <v>7</v>
      </c>
      <c r="F5" s="84" t="s">
        <v>8</v>
      </c>
      <c r="G5" s="84" t="s">
        <v>7</v>
      </c>
      <c r="H5" s="84" t="s">
        <v>8</v>
      </c>
      <c r="I5" s="85"/>
    </row>
    <row r="6" spans="1:9" s="91" customFormat="1" ht="43.5">
      <c r="A6" s="86">
        <v>1</v>
      </c>
      <c r="B6" s="87" t="s">
        <v>99</v>
      </c>
      <c r="C6" s="88"/>
      <c r="D6" s="89"/>
      <c r="E6" s="88"/>
      <c r="F6" s="90"/>
      <c r="G6" s="88"/>
      <c r="H6" s="90"/>
      <c r="I6" s="90"/>
    </row>
    <row r="7" spans="1:9" s="91" customFormat="1" ht="43.5">
      <c r="A7" s="92">
        <v>1.1</v>
      </c>
      <c r="B7" s="93" t="s">
        <v>117</v>
      </c>
      <c r="C7" s="90">
        <v>14</v>
      </c>
      <c r="D7" s="89" t="s">
        <v>100</v>
      </c>
      <c r="E7" s="94">
        <v>11000</v>
      </c>
      <c r="F7" s="90">
        <f>SUM(E7*C7)</f>
        <v>154000</v>
      </c>
      <c r="G7" s="94">
        <v>0</v>
      </c>
      <c r="H7" s="90">
        <f>SUM(G7*C7)</f>
        <v>0</v>
      </c>
      <c r="I7" s="90">
        <f>SUM(H7+F7)</f>
        <v>154000</v>
      </c>
    </row>
    <row r="8" spans="1:9" s="91" customFormat="1" ht="21.75">
      <c r="A8" s="92">
        <v>1.2</v>
      </c>
      <c r="B8" s="93" t="s">
        <v>101</v>
      </c>
      <c r="C8" s="90">
        <v>14</v>
      </c>
      <c r="D8" s="89" t="s">
        <v>100</v>
      </c>
      <c r="E8" s="94">
        <v>0</v>
      </c>
      <c r="F8" s="90">
        <f>SUM(E8*C8)</f>
        <v>0</v>
      </c>
      <c r="G8" s="94">
        <v>350</v>
      </c>
      <c r="H8" s="90">
        <f>SUM(G8*C8)</f>
        <v>4900</v>
      </c>
      <c r="I8" s="90">
        <f>SUM(H8+F8)</f>
        <v>4900</v>
      </c>
    </row>
    <row r="9" spans="1:9" s="91" customFormat="1" ht="43.5">
      <c r="A9" s="92">
        <v>1.3</v>
      </c>
      <c r="B9" s="93" t="s">
        <v>102</v>
      </c>
      <c r="C9" s="90">
        <v>14</v>
      </c>
      <c r="D9" s="89" t="s">
        <v>100</v>
      </c>
      <c r="E9" s="94">
        <v>670</v>
      </c>
      <c r="F9" s="90">
        <f>SUM(E9*C9)</f>
        <v>9380</v>
      </c>
      <c r="G9" s="94">
        <v>0</v>
      </c>
      <c r="H9" s="90">
        <f>SUM(G9*C9)</f>
        <v>0</v>
      </c>
      <c r="I9" s="90">
        <f>SUM(H9+F9)</f>
        <v>9380</v>
      </c>
    </row>
    <row r="10" spans="1:9" s="91" customFormat="1" ht="21.75">
      <c r="A10" s="92">
        <v>1.4</v>
      </c>
      <c r="B10" s="93" t="s">
        <v>105</v>
      </c>
      <c r="C10" s="90">
        <v>216</v>
      </c>
      <c r="D10" s="89" t="s">
        <v>104</v>
      </c>
      <c r="E10" s="94">
        <v>0</v>
      </c>
      <c r="F10" s="90">
        <f aca="true" t="shared" si="0" ref="F10:F20">SUM(E10*C10)</f>
        <v>0</v>
      </c>
      <c r="G10" s="94">
        <v>112</v>
      </c>
      <c r="H10" s="90">
        <f aca="true" t="shared" si="1" ref="H10:H20">SUM(G10*C10)</f>
        <v>24192</v>
      </c>
      <c r="I10" s="90">
        <f aca="true" t="shared" si="2" ref="I10:I20">SUM(H10+F10)</f>
        <v>24192</v>
      </c>
    </row>
    <row r="11" spans="1:9" s="91" customFormat="1" ht="43.5">
      <c r="A11" s="92">
        <v>1.5</v>
      </c>
      <c r="B11" s="95" t="s">
        <v>132</v>
      </c>
      <c r="C11" s="96">
        <v>54</v>
      </c>
      <c r="D11" s="89" t="s">
        <v>104</v>
      </c>
      <c r="E11" s="94">
        <v>1943</v>
      </c>
      <c r="F11" s="90">
        <f t="shared" si="0"/>
        <v>104922</v>
      </c>
      <c r="G11" s="94">
        <v>419</v>
      </c>
      <c r="H11" s="90">
        <f t="shared" si="1"/>
        <v>22626</v>
      </c>
      <c r="I11" s="90">
        <f t="shared" si="2"/>
        <v>127548</v>
      </c>
    </row>
    <row r="12" spans="1:9" s="91" customFormat="1" ht="65.25">
      <c r="A12" s="92">
        <v>1.6</v>
      </c>
      <c r="B12" s="95" t="s">
        <v>151</v>
      </c>
      <c r="C12" s="96">
        <v>57</v>
      </c>
      <c r="D12" s="89" t="s">
        <v>104</v>
      </c>
      <c r="E12" s="94">
        <v>2143</v>
      </c>
      <c r="F12" s="90">
        <f>SUM(E12*C12)</f>
        <v>122151</v>
      </c>
      <c r="G12" s="94">
        <v>419</v>
      </c>
      <c r="H12" s="90">
        <f>SUM(G12*C12)</f>
        <v>23883</v>
      </c>
      <c r="I12" s="90">
        <f>SUM(H12+F12)</f>
        <v>146034</v>
      </c>
    </row>
    <row r="13" spans="1:9" s="91" customFormat="1" ht="21.75">
      <c r="A13" s="92">
        <v>1.7</v>
      </c>
      <c r="B13" s="97" t="s">
        <v>107</v>
      </c>
      <c r="C13" s="94">
        <v>30607.5</v>
      </c>
      <c r="D13" s="89" t="s">
        <v>83</v>
      </c>
      <c r="E13" s="94">
        <v>21.806</v>
      </c>
      <c r="F13" s="90">
        <f t="shared" si="0"/>
        <v>667427.145</v>
      </c>
      <c r="G13" s="94">
        <v>3.1</v>
      </c>
      <c r="H13" s="90">
        <f t="shared" si="1"/>
        <v>94883.25</v>
      </c>
      <c r="I13" s="90">
        <f t="shared" si="2"/>
        <v>762310.395</v>
      </c>
    </row>
    <row r="14" spans="1:9" s="91" customFormat="1" ht="21.75">
      <c r="A14" s="92">
        <v>1.8</v>
      </c>
      <c r="B14" s="97" t="s">
        <v>108</v>
      </c>
      <c r="C14" s="94">
        <v>3318.5</v>
      </c>
      <c r="D14" s="89" t="s">
        <v>83</v>
      </c>
      <c r="E14" s="94">
        <v>23.208</v>
      </c>
      <c r="F14" s="90">
        <f t="shared" si="0"/>
        <v>77015.74799999999</v>
      </c>
      <c r="G14" s="94">
        <v>4.4</v>
      </c>
      <c r="H14" s="90">
        <f t="shared" si="1"/>
        <v>14601.400000000001</v>
      </c>
      <c r="I14" s="90">
        <f t="shared" si="2"/>
        <v>91617.14799999999</v>
      </c>
    </row>
    <row r="15" spans="1:9" s="91" customFormat="1" ht="21.75">
      <c r="A15" s="92">
        <v>1.9</v>
      </c>
      <c r="B15" s="97" t="s">
        <v>109</v>
      </c>
      <c r="C15" s="94">
        <v>435.5</v>
      </c>
      <c r="D15" s="89" t="s">
        <v>76</v>
      </c>
      <c r="E15" s="94">
        <v>270</v>
      </c>
      <c r="F15" s="90">
        <f t="shared" si="0"/>
        <v>117585</v>
      </c>
      <c r="G15" s="94">
        <v>0</v>
      </c>
      <c r="H15" s="90">
        <f t="shared" si="1"/>
        <v>0</v>
      </c>
      <c r="I15" s="90">
        <f t="shared" si="2"/>
        <v>117585</v>
      </c>
    </row>
    <row r="16" spans="1:9" s="91" customFormat="1" ht="21.75">
      <c r="A16" s="98">
        <v>1.1</v>
      </c>
      <c r="B16" s="97" t="s">
        <v>110</v>
      </c>
      <c r="C16" s="94">
        <v>622.2</v>
      </c>
      <c r="D16" s="89" t="s">
        <v>76</v>
      </c>
      <c r="E16" s="94">
        <v>0</v>
      </c>
      <c r="F16" s="90">
        <f t="shared" si="0"/>
        <v>0</v>
      </c>
      <c r="G16" s="94">
        <v>139</v>
      </c>
      <c r="H16" s="90">
        <f t="shared" si="1"/>
        <v>86485.8</v>
      </c>
      <c r="I16" s="90">
        <f t="shared" si="2"/>
        <v>86485.8</v>
      </c>
    </row>
    <row r="17" spans="1:9" s="91" customFormat="1" ht="21.75">
      <c r="A17" s="98">
        <v>1.11</v>
      </c>
      <c r="B17" s="97" t="s">
        <v>111</v>
      </c>
      <c r="C17" s="94">
        <v>895</v>
      </c>
      <c r="D17" s="89" t="s">
        <v>83</v>
      </c>
      <c r="E17" s="94">
        <v>44.86</v>
      </c>
      <c r="F17" s="90">
        <f t="shared" si="0"/>
        <v>40149.7</v>
      </c>
      <c r="G17" s="94">
        <v>0</v>
      </c>
      <c r="H17" s="90">
        <f t="shared" si="1"/>
        <v>0</v>
      </c>
      <c r="I17" s="90">
        <f t="shared" si="2"/>
        <v>40149.7</v>
      </c>
    </row>
    <row r="18" spans="1:9" s="91" customFormat="1" ht="21.75">
      <c r="A18" s="98">
        <v>1.12</v>
      </c>
      <c r="B18" s="95" t="s">
        <v>112</v>
      </c>
      <c r="C18" s="96">
        <v>762</v>
      </c>
      <c r="D18" s="89" t="s">
        <v>83</v>
      </c>
      <c r="E18" s="94">
        <v>44.4</v>
      </c>
      <c r="F18" s="90">
        <f t="shared" si="0"/>
        <v>33832.799999999996</v>
      </c>
      <c r="G18" s="94">
        <v>0</v>
      </c>
      <c r="H18" s="90">
        <f t="shared" si="1"/>
        <v>0</v>
      </c>
      <c r="I18" s="90">
        <f t="shared" si="2"/>
        <v>33832.799999999996</v>
      </c>
    </row>
    <row r="19" spans="1:9" s="91" customFormat="1" ht="65.25">
      <c r="A19" s="98">
        <v>1.13</v>
      </c>
      <c r="B19" s="93" t="s">
        <v>141</v>
      </c>
      <c r="C19" s="90">
        <v>165</v>
      </c>
      <c r="D19" s="89" t="s">
        <v>98</v>
      </c>
      <c r="E19" s="94">
        <v>2851.2</v>
      </c>
      <c r="F19" s="90">
        <f t="shared" si="0"/>
        <v>470447.99999999994</v>
      </c>
      <c r="G19" s="94">
        <v>712.75</v>
      </c>
      <c r="H19" s="90">
        <f t="shared" si="1"/>
        <v>117603.75</v>
      </c>
      <c r="I19" s="90">
        <f t="shared" si="2"/>
        <v>588051.75</v>
      </c>
    </row>
    <row r="20" spans="1:9" s="91" customFormat="1" ht="65.25">
      <c r="A20" s="98">
        <v>1.14</v>
      </c>
      <c r="B20" s="93" t="s">
        <v>142</v>
      </c>
      <c r="C20" s="90">
        <v>80</v>
      </c>
      <c r="D20" s="89" t="s">
        <v>98</v>
      </c>
      <c r="E20" s="94">
        <v>2415</v>
      </c>
      <c r="F20" s="90">
        <f t="shared" si="0"/>
        <v>193200</v>
      </c>
      <c r="G20" s="94">
        <v>603.75</v>
      </c>
      <c r="H20" s="90">
        <f t="shared" si="1"/>
        <v>48300</v>
      </c>
      <c r="I20" s="90">
        <f t="shared" si="2"/>
        <v>241500</v>
      </c>
    </row>
    <row r="21" spans="1:9" s="91" customFormat="1" ht="21.75">
      <c r="A21" s="99"/>
      <c r="B21" s="95"/>
      <c r="C21" s="96"/>
      <c r="D21" s="89"/>
      <c r="E21" s="100"/>
      <c r="F21" s="101"/>
      <c r="G21" s="101"/>
      <c r="H21" s="101"/>
      <c r="I21" s="101"/>
    </row>
    <row r="22" spans="1:9" s="91" customFormat="1" ht="19.5" customHeight="1">
      <c r="A22" s="99"/>
      <c r="B22" s="102" t="s">
        <v>77</v>
      </c>
      <c r="C22" s="96"/>
      <c r="D22" s="89"/>
      <c r="E22" s="96"/>
      <c r="F22" s="101">
        <f>SUM(F7:F21)</f>
        <v>1990111.393</v>
      </c>
      <c r="G22" s="101"/>
      <c r="H22" s="101">
        <f>SUM(H7:H21)</f>
        <v>437475.2</v>
      </c>
      <c r="I22" s="101">
        <f>SUM(I7:I21)</f>
        <v>2427586.5930000003</v>
      </c>
    </row>
    <row r="23" spans="1:9" s="91" customFormat="1" ht="21.75">
      <c r="A23" s="86">
        <v>2</v>
      </c>
      <c r="B23" s="103" t="s">
        <v>120</v>
      </c>
      <c r="C23" s="88"/>
      <c r="D23" s="89"/>
      <c r="E23" s="88"/>
      <c r="F23" s="90"/>
      <c r="G23" s="88"/>
      <c r="H23" s="90"/>
      <c r="I23" s="90"/>
    </row>
    <row r="24" spans="1:9" s="91" customFormat="1" ht="21.75" customHeight="1">
      <c r="A24" s="92">
        <v>2.1</v>
      </c>
      <c r="B24" s="95" t="s">
        <v>84</v>
      </c>
      <c r="C24" s="96">
        <v>2692.32</v>
      </c>
      <c r="D24" s="89" t="s">
        <v>83</v>
      </c>
      <c r="E24" s="94">
        <v>30</v>
      </c>
      <c r="F24" s="90">
        <f>SUM(E24*C24)</f>
        <v>80769.6</v>
      </c>
      <c r="G24" s="94">
        <v>10</v>
      </c>
      <c r="H24" s="90">
        <f>SUM(G24*C24)</f>
        <v>26923.2</v>
      </c>
      <c r="I24" s="90">
        <f>SUM(H24+F24)</f>
        <v>107692.8</v>
      </c>
    </row>
    <row r="25" spans="1:9" s="91" customFormat="1" ht="21.75">
      <c r="A25" s="92">
        <v>2.2</v>
      </c>
      <c r="B25" s="95" t="s">
        <v>114</v>
      </c>
      <c r="C25" s="96">
        <v>566.3</v>
      </c>
      <c r="D25" s="89" t="s">
        <v>83</v>
      </c>
      <c r="E25" s="94">
        <v>26</v>
      </c>
      <c r="F25" s="90">
        <f>SUM(E25*C25)</f>
        <v>14723.8</v>
      </c>
      <c r="G25" s="94">
        <v>10</v>
      </c>
      <c r="H25" s="90">
        <f>SUM(G25*C25)</f>
        <v>5663</v>
      </c>
      <c r="I25" s="90">
        <f>SUM(H25+F25)</f>
        <v>20386.8</v>
      </c>
    </row>
    <row r="26" spans="1:9" s="91" customFormat="1" ht="43.5">
      <c r="A26" s="92">
        <v>2.3</v>
      </c>
      <c r="B26" s="95" t="s">
        <v>126</v>
      </c>
      <c r="C26" s="96">
        <v>942.44</v>
      </c>
      <c r="D26" s="89" t="s">
        <v>83</v>
      </c>
      <c r="E26" s="94">
        <v>35</v>
      </c>
      <c r="F26" s="90">
        <f>SUM(E26*C26)</f>
        <v>32985.4</v>
      </c>
      <c r="G26" s="94">
        <v>10</v>
      </c>
      <c r="H26" s="90">
        <f>SUM(G26*C26)</f>
        <v>9424.400000000001</v>
      </c>
      <c r="I26" s="90">
        <f>SUM(H26+F26)</f>
        <v>42409.8</v>
      </c>
    </row>
    <row r="27" spans="1:9" s="91" customFormat="1" ht="65.25">
      <c r="A27" s="92">
        <v>2.4</v>
      </c>
      <c r="B27" s="104" t="s">
        <v>127</v>
      </c>
      <c r="C27" s="96">
        <v>54410.4</v>
      </c>
      <c r="D27" s="105" t="s">
        <v>83</v>
      </c>
      <c r="E27" s="96">
        <v>37.239</v>
      </c>
      <c r="F27" s="94">
        <f aca="true" t="shared" si="3" ref="F27:F36">SUM(E27*C27)</f>
        <v>2026188.8856</v>
      </c>
      <c r="G27" s="96">
        <v>14</v>
      </c>
      <c r="H27" s="94">
        <f>SUM(G27*C27)</f>
        <v>761745.6</v>
      </c>
      <c r="I27" s="94">
        <f>SUM(H27+F27)</f>
        <v>2787934.4856</v>
      </c>
    </row>
    <row r="28" spans="1:9" s="91" customFormat="1" ht="60.75" customHeight="1">
      <c r="A28" s="92">
        <v>2.5</v>
      </c>
      <c r="B28" s="104" t="s">
        <v>86</v>
      </c>
      <c r="C28" s="96">
        <v>3709.8</v>
      </c>
      <c r="D28" s="105" t="s">
        <v>83</v>
      </c>
      <c r="E28" s="96">
        <v>37.239</v>
      </c>
      <c r="F28" s="94">
        <f>SUM(E28*C28)</f>
        <v>138149.2422</v>
      </c>
      <c r="G28" s="96">
        <v>12</v>
      </c>
      <c r="H28" s="94">
        <f>SUM(G28*C28)</f>
        <v>44517.600000000006</v>
      </c>
      <c r="I28" s="94">
        <f>SUM(H28+F28)</f>
        <v>182666.8422</v>
      </c>
    </row>
    <row r="29" spans="1:9" s="91" customFormat="1" ht="65.25">
      <c r="A29" s="92">
        <v>2.6</v>
      </c>
      <c r="B29" s="104" t="s">
        <v>118</v>
      </c>
      <c r="C29" s="96">
        <v>8178</v>
      </c>
      <c r="D29" s="105" t="s">
        <v>83</v>
      </c>
      <c r="E29" s="96">
        <v>29.787</v>
      </c>
      <c r="F29" s="94">
        <f t="shared" si="3"/>
        <v>243598.08599999998</v>
      </c>
      <c r="G29" s="96">
        <v>12</v>
      </c>
      <c r="H29" s="94">
        <f aca="true" t="shared" si="4" ref="H29:H36">SUM(G29*C29)</f>
        <v>98136</v>
      </c>
      <c r="I29" s="94">
        <f aca="true" t="shared" si="5" ref="I29:I36">SUM(H29+F29)</f>
        <v>341734.086</v>
      </c>
    </row>
    <row r="30" spans="1:9" s="91" customFormat="1" ht="65.25">
      <c r="A30" s="92">
        <v>2.7</v>
      </c>
      <c r="B30" s="104" t="s">
        <v>124</v>
      </c>
      <c r="C30" s="96">
        <v>3844.8</v>
      </c>
      <c r="D30" s="105" t="s">
        <v>83</v>
      </c>
      <c r="E30" s="96">
        <v>28.09</v>
      </c>
      <c r="F30" s="94">
        <f>SUM(E30*C30)</f>
        <v>108000.432</v>
      </c>
      <c r="G30" s="96">
        <v>12</v>
      </c>
      <c r="H30" s="94">
        <f>SUM(G30*C30)</f>
        <v>46137.600000000006</v>
      </c>
      <c r="I30" s="94">
        <f>SUM(H30+F30)</f>
        <v>154138.032</v>
      </c>
    </row>
    <row r="31" spans="1:9" s="91" customFormat="1" ht="59.25" customHeight="1">
      <c r="A31" s="92">
        <v>2.8</v>
      </c>
      <c r="B31" s="104" t="s">
        <v>87</v>
      </c>
      <c r="C31" s="96">
        <v>5949.6</v>
      </c>
      <c r="D31" s="105" t="s">
        <v>83</v>
      </c>
      <c r="E31" s="96">
        <v>27.985</v>
      </c>
      <c r="F31" s="94">
        <f t="shared" si="3"/>
        <v>166499.556</v>
      </c>
      <c r="G31" s="96">
        <v>12</v>
      </c>
      <c r="H31" s="94">
        <f t="shared" si="4"/>
        <v>71395.20000000001</v>
      </c>
      <c r="I31" s="94">
        <f t="shared" si="5"/>
        <v>237894.75600000002</v>
      </c>
    </row>
    <row r="32" spans="1:9" s="91" customFormat="1" ht="61.5" customHeight="1">
      <c r="A32" s="92">
        <v>2.9</v>
      </c>
      <c r="B32" s="104" t="s">
        <v>88</v>
      </c>
      <c r="C32" s="96">
        <v>6818.04</v>
      </c>
      <c r="D32" s="105" t="s">
        <v>83</v>
      </c>
      <c r="E32" s="96">
        <v>27.691</v>
      </c>
      <c r="F32" s="94">
        <f t="shared" si="3"/>
        <v>188798.34563999998</v>
      </c>
      <c r="G32" s="96">
        <v>12</v>
      </c>
      <c r="H32" s="94">
        <f t="shared" si="4"/>
        <v>81816.48</v>
      </c>
      <c r="I32" s="94">
        <f t="shared" si="5"/>
        <v>270614.82564</v>
      </c>
    </row>
    <row r="33" spans="1:9" s="91" customFormat="1" ht="43.5">
      <c r="A33" s="98">
        <v>2.1</v>
      </c>
      <c r="B33" s="104" t="s">
        <v>119</v>
      </c>
      <c r="C33" s="94">
        <v>100742.4</v>
      </c>
      <c r="D33" s="105" t="s">
        <v>83</v>
      </c>
      <c r="E33" s="96">
        <v>29.671</v>
      </c>
      <c r="F33" s="94">
        <f>SUM(E33*C33)</f>
        <v>2989127.7504</v>
      </c>
      <c r="G33" s="96">
        <v>12</v>
      </c>
      <c r="H33" s="94">
        <f>SUM(G33*C33)</f>
        <v>1208908.7999999998</v>
      </c>
      <c r="I33" s="94">
        <f>SUM(H33+F33)</f>
        <v>4198036.5504</v>
      </c>
    </row>
    <row r="34" spans="1:9" s="91" customFormat="1" ht="65.25">
      <c r="A34" s="98">
        <v>2.11</v>
      </c>
      <c r="B34" s="104" t="s">
        <v>89</v>
      </c>
      <c r="C34" s="94">
        <v>3326.64</v>
      </c>
      <c r="D34" s="105" t="s">
        <v>83</v>
      </c>
      <c r="E34" s="96">
        <v>33.75</v>
      </c>
      <c r="F34" s="94">
        <f>SUM(E34*C34)</f>
        <v>112274.09999999999</v>
      </c>
      <c r="G34" s="96">
        <v>10</v>
      </c>
      <c r="H34" s="94">
        <f>SUM(G34*C34)</f>
        <v>33266.4</v>
      </c>
      <c r="I34" s="94">
        <f>SUM(H34+F34)</f>
        <v>145540.5</v>
      </c>
    </row>
    <row r="35" spans="1:9" s="91" customFormat="1" ht="43.5">
      <c r="A35" s="98">
        <v>2.12</v>
      </c>
      <c r="B35" s="95" t="s">
        <v>128</v>
      </c>
      <c r="C35" s="96">
        <v>112</v>
      </c>
      <c r="D35" s="89" t="s">
        <v>85</v>
      </c>
      <c r="E35" s="94">
        <v>250</v>
      </c>
      <c r="F35" s="90">
        <f>SUM(E35*C35)</f>
        <v>28000</v>
      </c>
      <c r="G35" s="94">
        <v>50</v>
      </c>
      <c r="H35" s="90">
        <f>SUM(G35*C35)</f>
        <v>5600</v>
      </c>
      <c r="I35" s="90">
        <f>SUM(H35+F35)</f>
        <v>33600</v>
      </c>
    </row>
    <row r="36" spans="1:9" s="91" customFormat="1" ht="21.75" customHeight="1">
      <c r="A36" s="98">
        <v>2.13</v>
      </c>
      <c r="B36" s="104" t="s">
        <v>80</v>
      </c>
      <c r="C36" s="96">
        <v>4200</v>
      </c>
      <c r="D36" s="105" t="s">
        <v>76</v>
      </c>
      <c r="E36" s="96">
        <v>50</v>
      </c>
      <c r="F36" s="94">
        <f t="shared" si="3"/>
        <v>210000</v>
      </c>
      <c r="G36" s="96">
        <v>38</v>
      </c>
      <c r="H36" s="94">
        <f t="shared" si="4"/>
        <v>159600</v>
      </c>
      <c r="I36" s="94">
        <f t="shared" si="5"/>
        <v>369600</v>
      </c>
    </row>
    <row r="37" spans="1:9" s="91" customFormat="1" ht="21.75">
      <c r="A37" s="98">
        <v>2.14</v>
      </c>
      <c r="B37" s="104" t="s">
        <v>92</v>
      </c>
      <c r="C37" s="96">
        <v>4200</v>
      </c>
      <c r="D37" s="105" t="s">
        <v>76</v>
      </c>
      <c r="E37" s="96">
        <v>56</v>
      </c>
      <c r="F37" s="94">
        <f aca="true" t="shared" si="6" ref="F37:F43">SUM(E37*C37)</f>
        <v>235200</v>
      </c>
      <c r="G37" s="96">
        <v>30</v>
      </c>
      <c r="H37" s="94">
        <f aca="true" t="shared" si="7" ref="H37:H43">SUM(G37*C37)</f>
        <v>126000</v>
      </c>
      <c r="I37" s="94">
        <f aca="true" t="shared" si="8" ref="I37:I43">SUM(H37+F37)</f>
        <v>361200</v>
      </c>
    </row>
    <row r="38" spans="1:9" s="91" customFormat="1" ht="43.5">
      <c r="A38" s="98">
        <v>2.15</v>
      </c>
      <c r="B38" s="104" t="s">
        <v>90</v>
      </c>
      <c r="C38" s="96">
        <v>3815</v>
      </c>
      <c r="D38" s="105" t="s">
        <v>76</v>
      </c>
      <c r="E38" s="96">
        <v>145</v>
      </c>
      <c r="F38" s="94">
        <f t="shared" si="6"/>
        <v>553175</v>
      </c>
      <c r="G38" s="106">
        <v>70</v>
      </c>
      <c r="H38" s="94">
        <f t="shared" si="7"/>
        <v>267050</v>
      </c>
      <c r="I38" s="94">
        <f t="shared" si="8"/>
        <v>820225</v>
      </c>
    </row>
    <row r="39" spans="1:9" s="91" customFormat="1" ht="65.25">
      <c r="A39" s="98">
        <v>2.16</v>
      </c>
      <c r="B39" s="104" t="s">
        <v>172</v>
      </c>
      <c r="C39" s="96">
        <v>395</v>
      </c>
      <c r="D39" s="105" t="s">
        <v>76</v>
      </c>
      <c r="E39" s="96">
        <v>145</v>
      </c>
      <c r="F39" s="94">
        <f t="shared" si="6"/>
        <v>57275</v>
      </c>
      <c r="G39" s="106">
        <v>70</v>
      </c>
      <c r="H39" s="94">
        <f t="shared" si="7"/>
        <v>27650</v>
      </c>
      <c r="I39" s="94">
        <f t="shared" si="8"/>
        <v>84925</v>
      </c>
    </row>
    <row r="40" spans="1:9" s="193" customFormat="1" ht="21.75">
      <c r="A40" s="98">
        <f>A39+0.01</f>
        <v>2.17</v>
      </c>
      <c r="B40" s="95" t="s">
        <v>168</v>
      </c>
      <c r="C40" s="96">
        <v>112</v>
      </c>
      <c r="D40" s="105" t="s">
        <v>79</v>
      </c>
      <c r="E40" s="96">
        <v>90</v>
      </c>
      <c r="F40" s="94">
        <f t="shared" si="6"/>
        <v>10080</v>
      </c>
      <c r="G40" s="96">
        <v>50</v>
      </c>
      <c r="H40" s="94">
        <f t="shared" si="7"/>
        <v>5600</v>
      </c>
      <c r="I40" s="94">
        <f t="shared" si="8"/>
        <v>15680</v>
      </c>
    </row>
    <row r="41" spans="1:9" s="91" customFormat="1" ht="21.75">
      <c r="A41" s="98">
        <f>A40+0.01</f>
        <v>2.1799999999999997</v>
      </c>
      <c r="B41" s="95" t="s">
        <v>115</v>
      </c>
      <c r="C41" s="96">
        <v>395</v>
      </c>
      <c r="D41" s="89" t="s">
        <v>76</v>
      </c>
      <c r="E41" s="94">
        <v>52.5626</v>
      </c>
      <c r="F41" s="90">
        <f t="shared" si="6"/>
        <v>20762.227000000003</v>
      </c>
      <c r="G41" s="94">
        <v>68.4149</v>
      </c>
      <c r="H41" s="90">
        <f t="shared" si="7"/>
        <v>27023.8855</v>
      </c>
      <c r="I41" s="90">
        <f t="shared" si="8"/>
        <v>47786.1125</v>
      </c>
    </row>
    <row r="42" spans="1:9" s="91" customFormat="1" ht="21.75">
      <c r="A42" s="98">
        <f>A41+0.01</f>
        <v>2.1899999999999995</v>
      </c>
      <c r="B42" s="97" t="s">
        <v>116</v>
      </c>
      <c r="C42" s="94">
        <v>785</v>
      </c>
      <c r="D42" s="89" t="s">
        <v>76</v>
      </c>
      <c r="E42" s="94">
        <v>35</v>
      </c>
      <c r="F42" s="90">
        <f t="shared" si="6"/>
        <v>27475</v>
      </c>
      <c r="G42" s="94">
        <v>34</v>
      </c>
      <c r="H42" s="90">
        <f t="shared" si="7"/>
        <v>26690</v>
      </c>
      <c r="I42" s="90">
        <f t="shared" si="8"/>
        <v>54165</v>
      </c>
    </row>
    <row r="43" spans="1:9" s="91" customFormat="1" ht="66.75" customHeight="1">
      <c r="A43" s="98">
        <f>A42+0.01</f>
        <v>2.1999999999999993</v>
      </c>
      <c r="B43" s="110" t="s">
        <v>169</v>
      </c>
      <c r="C43" s="94">
        <v>115</v>
      </c>
      <c r="D43" s="89" t="s">
        <v>76</v>
      </c>
      <c r="E43" s="94">
        <v>0</v>
      </c>
      <c r="F43" s="90">
        <f t="shared" si="6"/>
        <v>0</v>
      </c>
      <c r="G43" s="94">
        <v>70</v>
      </c>
      <c r="H43" s="90">
        <f t="shared" si="7"/>
        <v>8050</v>
      </c>
      <c r="I43" s="90">
        <f t="shared" si="8"/>
        <v>8050</v>
      </c>
    </row>
    <row r="44" spans="1:9" s="91" customFormat="1" ht="21.75">
      <c r="A44" s="107"/>
      <c r="B44" s="104"/>
      <c r="C44" s="96"/>
      <c r="D44" s="105"/>
      <c r="E44" s="96"/>
      <c r="F44" s="101"/>
      <c r="G44" s="101"/>
      <c r="H44" s="101"/>
      <c r="I44" s="101"/>
    </row>
    <row r="45" spans="1:9" s="91" customFormat="1" ht="19.5" customHeight="1">
      <c r="A45" s="107"/>
      <c r="B45" s="108" t="s">
        <v>77</v>
      </c>
      <c r="C45" s="96"/>
      <c r="D45" s="105"/>
      <c r="E45" s="96"/>
      <c r="F45" s="101">
        <f>SUM(F24:F44)</f>
        <v>7243082.4248399995</v>
      </c>
      <c r="G45" s="101"/>
      <c r="H45" s="101">
        <f>SUM(H24:H44)</f>
        <v>3041198.1654999997</v>
      </c>
      <c r="I45" s="101">
        <f>SUM(I24:I44)</f>
        <v>10284280.59034</v>
      </c>
    </row>
    <row r="46" spans="1:9" s="122" customFormat="1" ht="21.75">
      <c r="A46" s="117">
        <v>3</v>
      </c>
      <c r="B46" s="118" t="s">
        <v>91</v>
      </c>
      <c r="C46" s="119"/>
      <c r="D46" s="117"/>
      <c r="E46" s="120"/>
      <c r="F46" s="121"/>
      <c r="G46" s="121"/>
      <c r="H46" s="121"/>
      <c r="I46" s="121"/>
    </row>
    <row r="47" spans="1:9" s="91" customFormat="1" ht="23.25" customHeight="1">
      <c r="A47" s="92">
        <v>3.1</v>
      </c>
      <c r="B47" s="173" t="s">
        <v>164</v>
      </c>
      <c r="C47" s="96">
        <v>16</v>
      </c>
      <c r="D47" s="89" t="s">
        <v>98</v>
      </c>
      <c r="E47" s="96">
        <v>5800</v>
      </c>
      <c r="F47" s="96">
        <f aca="true" t="shared" si="9" ref="F47:F58">SUM(E47*C47)</f>
        <v>92800</v>
      </c>
      <c r="G47" s="96">
        <v>650</v>
      </c>
      <c r="H47" s="96">
        <f aca="true" t="shared" si="10" ref="H47:H58">SUM(G47*C47)</f>
        <v>10400</v>
      </c>
      <c r="I47" s="96">
        <f aca="true" t="shared" si="11" ref="I47:I58">SUM(H47+F47)</f>
        <v>103200</v>
      </c>
    </row>
    <row r="48" spans="1:9" s="91" customFormat="1" ht="23.25" customHeight="1">
      <c r="A48" s="92">
        <v>3.2</v>
      </c>
      <c r="B48" s="173" t="s">
        <v>143</v>
      </c>
      <c r="C48" s="96">
        <v>88</v>
      </c>
      <c r="D48" s="89" t="s">
        <v>98</v>
      </c>
      <c r="E48" s="96">
        <v>6500</v>
      </c>
      <c r="F48" s="96">
        <f>SUM(E48*C48)</f>
        <v>572000</v>
      </c>
      <c r="G48" s="96">
        <v>650</v>
      </c>
      <c r="H48" s="96">
        <f>SUM(G48*C48)</f>
        <v>57200</v>
      </c>
      <c r="I48" s="96">
        <f>SUM(H48+F48)</f>
        <v>629200</v>
      </c>
    </row>
    <row r="49" spans="1:9" s="91" customFormat="1" ht="43.5" customHeight="1">
      <c r="A49" s="92">
        <v>3.3</v>
      </c>
      <c r="B49" s="173" t="s">
        <v>144</v>
      </c>
      <c r="C49" s="96">
        <v>2376</v>
      </c>
      <c r="D49" s="89" t="s">
        <v>79</v>
      </c>
      <c r="E49" s="96">
        <v>9.23</v>
      </c>
      <c r="F49" s="96">
        <f t="shared" si="9"/>
        <v>21930.48</v>
      </c>
      <c r="G49" s="96">
        <v>7</v>
      </c>
      <c r="H49" s="96">
        <f t="shared" si="10"/>
        <v>16632</v>
      </c>
      <c r="I49" s="96">
        <f t="shared" si="11"/>
        <v>38562.479999999996</v>
      </c>
    </row>
    <row r="50" spans="1:9" s="91" customFormat="1" ht="43.5" customHeight="1">
      <c r="A50" s="92">
        <v>3.4</v>
      </c>
      <c r="B50" s="173" t="s">
        <v>145</v>
      </c>
      <c r="C50" s="96">
        <v>1188</v>
      </c>
      <c r="D50" s="89" t="s">
        <v>79</v>
      </c>
      <c r="E50" s="96">
        <v>9.23</v>
      </c>
      <c r="F50" s="96">
        <f t="shared" si="9"/>
        <v>10965.24</v>
      </c>
      <c r="G50" s="96">
        <v>7</v>
      </c>
      <c r="H50" s="96">
        <f t="shared" si="10"/>
        <v>8316</v>
      </c>
      <c r="I50" s="96">
        <f t="shared" si="11"/>
        <v>19281.239999999998</v>
      </c>
    </row>
    <row r="51" spans="1:9" s="91" customFormat="1" ht="44.25" customHeight="1">
      <c r="A51" s="92">
        <v>3.5</v>
      </c>
      <c r="B51" s="173" t="s">
        <v>146</v>
      </c>
      <c r="C51" s="96">
        <v>720</v>
      </c>
      <c r="D51" s="89" t="s">
        <v>79</v>
      </c>
      <c r="E51" s="96">
        <v>13.93</v>
      </c>
      <c r="F51" s="96">
        <f t="shared" si="9"/>
        <v>10029.6</v>
      </c>
      <c r="G51" s="96">
        <v>10</v>
      </c>
      <c r="H51" s="96">
        <f t="shared" si="10"/>
        <v>7200</v>
      </c>
      <c r="I51" s="96">
        <f t="shared" si="11"/>
        <v>17229.6</v>
      </c>
    </row>
    <row r="52" spans="1:9" s="91" customFormat="1" ht="43.5" customHeight="1">
      <c r="A52" s="92">
        <v>3.6</v>
      </c>
      <c r="B52" s="173" t="s">
        <v>147</v>
      </c>
      <c r="C52" s="96">
        <v>360</v>
      </c>
      <c r="D52" s="89" t="s">
        <v>79</v>
      </c>
      <c r="E52" s="96">
        <v>9.23</v>
      </c>
      <c r="F52" s="96">
        <f t="shared" si="9"/>
        <v>3322.8</v>
      </c>
      <c r="G52" s="96">
        <v>7</v>
      </c>
      <c r="H52" s="96">
        <f t="shared" si="10"/>
        <v>2520</v>
      </c>
      <c r="I52" s="96">
        <f t="shared" si="11"/>
        <v>5842.8</v>
      </c>
    </row>
    <row r="53" spans="1:9" s="91" customFormat="1" ht="84" customHeight="1">
      <c r="A53" s="92">
        <v>3.7</v>
      </c>
      <c r="B53" s="95" t="s">
        <v>94</v>
      </c>
      <c r="C53" s="96">
        <v>12</v>
      </c>
      <c r="D53" s="89" t="s">
        <v>98</v>
      </c>
      <c r="E53" s="96">
        <v>220</v>
      </c>
      <c r="F53" s="96">
        <f>SUM(E53*C53)</f>
        <v>2640</v>
      </c>
      <c r="G53" s="96">
        <v>90</v>
      </c>
      <c r="H53" s="96">
        <f t="shared" si="10"/>
        <v>1080</v>
      </c>
      <c r="I53" s="96">
        <f>SUM(H53+F53)</f>
        <v>3720</v>
      </c>
    </row>
    <row r="54" spans="1:9" s="91" customFormat="1" ht="42.75" customHeight="1">
      <c r="A54" s="92">
        <v>3.8</v>
      </c>
      <c r="B54" s="95" t="s">
        <v>148</v>
      </c>
      <c r="C54" s="96">
        <v>33</v>
      </c>
      <c r="D54" s="89" t="s">
        <v>93</v>
      </c>
      <c r="E54" s="96">
        <v>395</v>
      </c>
      <c r="F54" s="96">
        <f t="shared" si="9"/>
        <v>13035</v>
      </c>
      <c r="G54" s="96">
        <v>100</v>
      </c>
      <c r="H54" s="96">
        <f t="shared" si="10"/>
        <v>3300</v>
      </c>
      <c r="I54" s="96">
        <f t="shared" si="11"/>
        <v>16335</v>
      </c>
    </row>
    <row r="55" spans="1:9" s="91" customFormat="1" ht="43.5">
      <c r="A55" s="92">
        <v>3.9</v>
      </c>
      <c r="B55" s="95" t="s">
        <v>95</v>
      </c>
      <c r="C55" s="96">
        <v>188</v>
      </c>
      <c r="D55" s="89" t="s">
        <v>93</v>
      </c>
      <c r="E55" s="96">
        <v>45</v>
      </c>
      <c r="F55" s="96">
        <f t="shared" si="9"/>
        <v>8460</v>
      </c>
      <c r="G55" s="106">
        <v>30</v>
      </c>
      <c r="H55" s="96">
        <f t="shared" si="10"/>
        <v>5640</v>
      </c>
      <c r="I55" s="96">
        <f t="shared" si="11"/>
        <v>14100</v>
      </c>
    </row>
    <row r="56" spans="1:9" s="91" customFormat="1" ht="21" customHeight="1">
      <c r="A56" s="98">
        <v>3.1</v>
      </c>
      <c r="B56" s="95" t="s">
        <v>162</v>
      </c>
      <c r="C56" s="96">
        <v>1</v>
      </c>
      <c r="D56" s="89" t="s">
        <v>82</v>
      </c>
      <c r="E56" s="96">
        <v>700</v>
      </c>
      <c r="F56" s="96">
        <f>SUM(E56*C56)</f>
        <v>700</v>
      </c>
      <c r="G56" s="96">
        <v>300</v>
      </c>
      <c r="H56" s="96">
        <f>SUM(G56*C56)</f>
        <v>300</v>
      </c>
      <c r="I56" s="96">
        <f>SUM(H56+F56)</f>
        <v>1000</v>
      </c>
    </row>
    <row r="57" spans="1:9" s="91" customFormat="1" ht="21" customHeight="1">
      <c r="A57" s="98">
        <v>3.11</v>
      </c>
      <c r="B57" s="95" t="s">
        <v>96</v>
      </c>
      <c r="C57" s="96">
        <v>1</v>
      </c>
      <c r="D57" s="89" t="s">
        <v>82</v>
      </c>
      <c r="E57" s="96">
        <v>0</v>
      </c>
      <c r="F57" s="96">
        <f t="shared" si="9"/>
        <v>0</v>
      </c>
      <c r="G57" s="96">
        <v>10000</v>
      </c>
      <c r="H57" s="96">
        <f t="shared" si="10"/>
        <v>10000</v>
      </c>
      <c r="I57" s="96">
        <f t="shared" si="11"/>
        <v>10000</v>
      </c>
    </row>
    <row r="58" spans="1:9" s="91" customFormat="1" ht="21" customHeight="1">
      <c r="A58" s="98">
        <v>3.12</v>
      </c>
      <c r="B58" s="95" t="s">
        <v>97</v>
      </c>
      <c r="C58" s="96">
        <v>1</v>
      </c>
      <c r="D58" s="89" t="s">
        <v>82</v>
      </c>
      <c r="E58" s="96">
        <v>20000</v>
      </c>
      <c r="F58" s="96">
        <f t="shared" si="9"/>
        <v>20000</v>
      </c>
      <c r="G58" s="106">
        <v>0</v>
      </c>
      <c r="H58" s="96">
        <f t="shared" si="10"/>
        <v>0</v>
      </c>
      <c r="I58" s="96">
        <f t="shared" si="11"/>
        <v>20000</v>
      </c>
    </row>
    <row r="59" spans="1:9" s="91" customFormat="1" ht="21.75">
      <c r="A59" s="107"/>
      <c r="B59" s="104"/>
      <c r="C59" s="96"/>
      <c r="D59" s="105"/>
      <c r="E59" s="96"/>
      <c r="F59" s="101"/>
      <c r="G59" s="101"/>
      <c r="H59" s="101"/>
      <c r="I59" s="101"/>
    </row>
    <row r="60" spans="1:9" s="91" customFormat="1" ht="19.5" customHeight="1">
      <c r="A60" s="107"/>
      <c r="B60" s="108" t="s">
        <v>77</v>
      </c>
      <c r="C60" s="96"/>
      <c r="D60" s="105"/>
      <c r="E60" s="96"/>
      <c r="F60" s="101">
        <f>SUM(F47:F59)</f>
        <v>755883.12</v>
      </c>
      <c r="G60" s="101"/>
      <c r="H60" s="101">
        <f>SUM(H47:H59)</f>
        <v>122588</v>
      </c>
      <c r="I60" s="101">
        <f>SUM(I47:I59)</f>
        <v>878471.12</v>
      </c>
    </row>
    <row r="61" spans="1:9" s="91" customFormat="1" ht="21.75">
      <c r="A61" s="86">
        <v>4</v>
      </c>
      <c r="B61" s="109" t="s">
        <v>121</v>
      </c>
      <c r="C61" s="88"/>
      <c r="D61" s="89"/>
      <c r="E61" s="88"/>
      <c r="F61" s="90"/>
      <c r="G61" s="88"/>
      <c r="H61" s="90"/>
      <c r="I61" s="90"/>
    </row>
    <row r="62" spans="1:9" s="91" customFormat="1" ht="21.75">
      <c r="A62" s="92">
        <v>4.1</v>
      </c>
      <c r="B62" s="95" t="s">
        <v>106</v>
      </c>
      <c r="C62" s="96">
        <v>562</v>
      </c>
      <c r="D62" s="89" t="s">
        <v>104</v>
      </c>
      <c r="E62" s="94">
        <v>1925</v>
      </c>
      <c r="F62" s="90">
        <f aca="true" t="shared" si="12" ref="F62:F68">SUM(E62*C62)</f>
        <v>1081850</v>
      </c>
      <c r="G62" s="94">
        <v>327</v>
      </c>
      <c r="H62" s="90">
        <f aca="true" t="shared" si="13" ref="H62:H68">SUM(G62*C62)</f>
        <v>183774</v>
      </c>
      <c r="I62" s="90">
        <f aca="true" t="shared" si="14" ref="I62:I68">SUM(H62+F62)</f>
        <v>1265624</v>
      </c>
    </row>
    <row r="63" spans="1:9" s="91" customFormat="1" ht="21.75">
      <c r="A63" s="92">
        <v>4.2</v>
      </c>
      <c r="B63" s="97" t="s">
        <v>109</v>
      </c>
      <c r="C63" s="94">
        <v>54.32</v>
      </c>
      <c r="D63" s="89" t="s">
        <v>76</v>
      </c>
      <c r="E63" s="94">
        <v>230</v>
      </c>
      <c r="F63" s="90">
        <f t="shared" si="12"/>
        <v>12493.6</v>
      </c>
      <c r="G63" s="94">
        <v>0</v>
      </c>
      <c r="H63" s="90">
        <f t="shared" si="13"/>
        <v>0</v>
      </c>
      <c r="I63" s="90">
        <f t="shared" si="14"/>
        <v>12493.6</v>
      </c>
    </row>
    <row r="64" spans="1:9" s="91" customFormat="1" ht="21.75">
      <c r="A64" s="92">
        <v>4.3</v>
      </c>
      <c r="B64" s="97" t="s">
        <v>110</v>
      </c>
      <c r="C64" s="94">
        <v>77.6</v>
      </c>
      <c r="D64" s="89" t="s">
        <v>76</v>
      </c>
      <c r="E64" s="94">
        <v>0</v>
      </c>
      <c r="F64" s="90">
        <f t="shared" si="12"/>
        <v>0</v>
      </c>
      <c r="G64" s="94">
        <v>110</v>
      </c>
      <c r="H64" s="90">
        <f t="shared" si="13"/>
        <v>8536</v>
      </c>
      <c r="I64" s="90">
        <f t="shared" si="14"/>
        <v>8536</v>
      </c>
    </row>
    <row r="65" spans="1:9" s="91" customFormat="1" ht="43.5">
      <c r="A65" s="92">
        <v>4.4</v>
      </c>
      <c r="B65" s="110" t="s">
        <v>113</v>
      </c>
      <c r="C65" s="94">
        <v>5624</v>
      </c>
      <c r="D65" s="89" t="s">
        <v>76</v>
      </c>
      <c r="E65" s="94">
        <v>32.71</v>
      </c>
      <c r="F65" s="90">
        <f t="shared" si="12"/>
        <v>183961.04</v>
      </c>
      <c r="G65" s="94">
        <v>5</v>
      </c>
      <c r="H65" s="90">
        <f t="shared" si="13"/>
        <v>28120</v>
      </c>
      <c r="I65" s="90">
        <f t="shared" si="14"/>
        <v>212081.04</v>
      </c>
    </row>
    <row r="66" spans="1:9" s="116" customFormat="1" ht="21.75">
      <c r="A66" s="92">
        <v>4.5</v>
      </c>
      <c r="B66" s="111" t="s">
        <v>155</v>
      </c>
      <c r="C66" s="112">
        <v>5356</v>
      </c>
      <c r="D66" s="113" t="s">
        <v>76</v>
      </c>
      <c r="E66" s="94">
        <v>8</v>
      </c>
      <c r="F66" s="114">
        <f>SUM(E66*C66)</f>
        <v>42848</v>
      </c>
      <c r="G66" s="115">
        <v>1</v>
      </c>
      <c r="H66" s="114">
        <f>SUM(G66*C66)</f>
        <v>5356</v>
      </c>
      <c r="I66" s="114">
        <f>SUM(H66+F66)</f>
        <v>48204</v>
      </c>
    </row>
    <row r="67" spans="1:9" s="116" customFormat="1" ht="43.5">
      <c r="A67" s="92">
        <v>4.6</v>
      </c>
      <c r="B67" s="111" t="s">
        <v>159</v>
      </c>
      <c r="C67" s="112">
        <v>5356</v>
      </c>
      <c r="D67" s="113" t="s">
        <v>76</v>
      </c>
      <c r="E67" s="94">
        <v>30</v>
      </c>
      <c r="F67" s="114">
        <f t="shared" si="12"/>
        <v>160680</v>
      </c>
      <c r="G67" s="115">
        <v>0</v>
      </c>
      <c r="H67" s="114">
        <f t="shared" si="13"/>
        <v>0</v>
      </c>
      <c r="I67" s="114">
        <f t="shared" si="14"/>
        <v>160680</v>
      </c>
    </row>
    <row r="68" spans="1:9" s="116" customFormat="1" ht="87">
      <c r="A68" s="92">
        <v>4.7</v>
      </c>
      <c r="B68" s="111" t="s">
        <v>158</v>
      </c>
      <c r="C68" s="112">
        <v>2370</v>
      </c>
      <c r="D68" s="113" t="s">
        <v>76</v>
      </c>
      <c r="E68" s="94">
        <v>455</v>
      </c>
      <c r="F68" s="114">
        <f t="shared" si="12"/>
        <v>1078350</v>
      </c>
      <c r="G68" s="115">
        <v>120</v>
      </c>
      <c r="H68" s="114">
        <f t="shared" si="13"/>
        <v>284400</v>
      </c>
      <c r="I68" s="114">
        <f t="shared" si="14"/>
        <v>1362750</v>
      </c>
    </row>
    <row r="69" spans="1:9" s="116" customFormat="1" ht="87">
      <c r="A69" s="92">
        <v>4.8</v>
      </c>
      <c r="B69" s="111" t="s">
        <v>161</v>
      </c>
      <c r="C69" s="112">
        <v>2986</v>
      </c>
      <c r="D69" s="113" t="s">
        <v>76</v>
      </c>
      <c r="E69" s="94">
        <v>270</v>
      </c>
      <c r="F69" s="114">
        <f>SUM(E69*C69)</f>
        <v>806220</v>
      </c>
      <c r="G69" s="115">
        <v>80</v>
      </c>
      <c r="H69" s="114">
        <f>SUM(G69*C69)</f>
        <v>238880</v>
      </c>
      <c r="I69" s="114">
        <f>SUM(H69+F69)</f>
        <v>1045100</v>
      </c>
    </row>
    <row r="70" spans="1:9" s="91" customFormat="1" ht="21.75">
      <c r="A70" s="107"/>
      <c r="B70" s="104"/>
      <c r="C70" s="96"/>
      <c r="D70" s="105"/>
      <c r="E70" s="96"/>
      <c r="F70" s="101"/>
      <c r="G70" s="101"/>
      <c r="H70" s="101"/>
      <c r="I70" s="101"/>
    </row>
    <row r="71" spans="1:9" s="91" customFormat="1" ht="19.5" customHeight="1">
      <c r="A71" s="107"/>
      <c r="B71" s="108" t="s">
        <v>77</v>
      </c>
      <c r="C71" s="96"/>
      <c r="D71" s="105"/>
      <c r="E71" s="96"/>
      <c r="F71" s="101">
        <f>SUM(F62:F70)</f>
        <v>3366402.64</v>
      </c>
      <c r="G71" s="101"/>
      <c r="H71" s="101">
        <f>SUM(H62:H70)</f>
        <v>749066</v>
      </c>
      <c r="I71" s="101">
        <f>SUM(I62:I70)</f>
        <v>4115468.64</v>
      </c>
    </row>
    <row r="72" spans="1:9" s="91" customFormat="1" ht="21.75">
      <c r="A72" s="86">
        <v>5</v>
      </c>
      <c r="B72" s="109" t="s">
        <v>129</v>
      </c>
      <c r="C72" s="88"/>
      <c r="D72" s="89"/>
      <c r="E72" s="88"/>
      <c r="F72" s="90"/>
      <c r="G72" s="88"/>
      <c r="H72" s="90"/>
      <c r="I72" s="90"/>
    </row>
    <row r="73" spans="1:9" s="91" customFormat="1" ht="21.75">
      <c r="A73" s="92">
        <v>5.1</v>
      </c>
      <c r="B73" s="93" t="s">
        <v>103</v>
      </c>
      <c r="C73" s="90">
        <v>252</v>
      </c>
      <c r="D73" s="89" t="s">
        <v>76</v>
      </c>
      <c r="E73" s="94">
        <v>0</v>
      </c>
      <c r="F73" s="90">
        <f>SUM(E73*C73)</f>
        <v>0</v>
      </c>
      <c r="G73" s="94">
        <v>70</v>
      </c>
      <c r="H73" s="90">
        <f>SUM(G73*C73)</f>
        <v>17640</v>
      </c>
      <c r="I73" s="90">
        <f>SUM(H73+F73)</f>
        <v>17640</v>
      </c>
    </row>
    <row r="74" spans="1:9" s="91" customFormat="1" ht="21.75">
      <c r="A74" s="92">
        <v>5.2</v>
      </c>
      <c r="B74" s="93" t="s">
        <v>131</v>
      </c>
      <c r="C74" s="90">
        <v>213</v>
      </c>
      <c r="D74" s="89" t="s">
        <v>76</v>
      </c>
      <c r="E74" s="94">
        <v>0</v>
      </c>
      <c r="F74" s="90">
        <f>SUM(E74*C74)</f>
        <v>0</v>
      </c>
      <c r="G74" s="94">
        <v>25</v>
      </c>
      <c r="H74" s="90">
        <f>SUM(G74*C74)</f>
        <v>5325</v>
      </c>
      <c r="I74" s="90">
        <f>SUM(H74+F74)</f>
        <v>5325</v>
      </c>
    </row>
    <row r="75" spans="1:9" s="91" customFormat="1" ht="21.75">
      <c r="A75" s="92">
        <v>5.3</v>
      </c>
      <c r="B75" s="95" t="s">
        <v>130</v>
      </c>
      <c r="C75" s="96">
        <v>7</v>
      </c>
      <c r="D75" s="89" t="s">
        <v>104</v>
      </c>
      <c r="E75" s="94">
        <v>0</v>
      </c>
      <c r="F75" s="90">
        <f>SUM(E75*C75)</f>
        <v>0</v>
      </c>
      <c r="G75" s="94">
        <v>600</v>
      </c>
      <c r="H75" s="90">
        <f>SUM(G75*C75)</f>
        <v>4200</v>
      </c>
      <c r="I75" s="90">
        <f>SUM(H75+F75)</f>
        <v>4200</v>
      </c>
    </row>
    <row r="76" spans="1:9" s="91" customFormat="1" ht="21.75">
      <c r="A76" s="92">
        <v>5.4</v>
      </c>
      <c r="B76" s="95" t="s">
        <v>137</v>
      </c>
      <c r="C76" s="96">
        <v>2</v>
      </c>
      <c r="D76" s="89" t="s">
        <v>98</v>
      </c>
      <c r="E76" s="94">
        <v>0</v>
      </c>
      <c r="F76" s="90">
        <f>SUM(E76*C76)</f>
        <v>0</v>
      </c>
      <c r="G76" s="94">
        <v>150</v>
      </c>
      <c r="H76" s="90">
        <f>SUM(G76*C76)</f>
        <v>300</v>
      </c>
      <c r="I76" s="90">
        <f>SUM(H76+F76)</f>
        <v>300</v>
      </c>
    </row>
    <row r="77" spans="1:9" s="91" customFormat="1" ht="21.75" customHeight="1">
      <c r="A77" s="92">
        <v>5.5</v>
      </c>
      <c r="B77" s="95" t="s">
        <v>170</v>
      </c>
      <c r="C77" s="96">
        <v>1</v>
      </c>
      <c r="D77" s="89" t="s">
        <v>82</v>
      </c>
      <c r="E77" s="94">
        <v>3000</v>
      </c>
      <c r="F77" s="90">
        <f>SUM(E77*C77)</f>
        <v>3000</v>
      </c>
      <c r="G77" s="94">
        <v>5000</v>
      </c>
      <c r="H77" s="90">
        <f>SUM(G77*C77)</f>
        <v>5000</v>
      </c>
      <c r="I77" s="90">
        <f>SUM(H77+F77)</f>
        <v>8000</v>
      </c>
    </row>
    <row r="78" spans="1:9" s="91" customFormat="1" ht="21.75">
      <c r="A78" s="107"/>
      <c r="B78" s="104"/>
      <c r="C78" s="96"/>
      <c r="D78" s="105"/>
      <c r="E78" s="96"/>
      <c r="F78" s="101"/>
      <c r="G78" s="101"/>
      <c r="H78" s="101"/>
      <c r="I78" s="101"/>
    </row>
    <row r="79" spans="1:9" s="91" customFormat="1" ht="19.5" customHeight="1">
      <c r="A79" s="107"/>
      <c r="B79" s="108" t="s">
        <v>77</v>
      </c>
      <c r="C79" s="96"/>
      <c r="D79" s="105"/>
      <c r="E79" s="96"/>
      <c r="F79" s="101">
        <f>SUM(F73:F78)</f>
        <v>3000</v>
      </c>
      <c r="G79" s="101"/>
      <c r="H79" s="101">
        <f>SUM(H73:H78)</f>
        <v>32465</v>
      </c>
      <c r="I79" s="101">
        <f>SUM(I73:I78)</f>
        <v>35465</v>
      </c>
    </row>
    <row r="80" spans="1:9" s="91" customFormat="1" ht="21.75">
      <c r="A80" s="86">
        <v>6</v>
      </c>
      <c r="B80" s="109" t="s">
        <v>136</v>
      </c>
      <c r="C80" s="88"/>
      <c r="D80" s="89"/>
      <c r="E80" s="88"/>
      <c r="F80" s="90"/>
      <c r="G80" s="88"/>
      <c r="H80" s="90"/>
      <c r="I80" s="90"/>
    </row>
    <row r="81" spans="1:9" s="91" customFormat="1" ht="43.5">
      <c r="A81" s="92">
        <v>6.1</v>
      </c>
      <c r="B81" s="93" t="s">
        <v>163</v>
      </c>
      <c r="C81" s="90">
        <v>2</v>
      </c>
      <c r="D81" s="89" t="s">
        <v>98</v>
      </c>
      <c r="E81" s="94">
        <v>25000</v>
      </c>
      <c r="F81" s="90">
        <f aca="true" t="shared" si="15" ref="F81:F86">SUM(E81*C81)</f>
        <v>50000</v>
      </c>
      <c r="G81" s="94">
        <v>1500</v>
      </c>
      <c r="H81" s="90">
        <f aca="true" t="shared" si="16" ref="H81:H86">SUM(G81*C81)</f>
        <v>3000</v>
      </c>
      <c r="I81" s="90">
        <f aca="true" t="shared" si="17" ref="I81:I86">SUM(H81+F81)</f>
        <v>53000</v>
      </c>
    </row>
    <row r="82" spans="1:9" s="91" customFormat="1" ht="43.5">
      <c r="A82" s="92">
        <v>6.2</v>
      </c>
      <c r="B82" s="177" t="s">
        <v>157</v>
      </c>
      <c r="C82" s="90">
        <v>200</v>
      </c>
      <c r="D82" s="89" t="s">
        <v>79</v>
      </c>
      <c r="E82" s="94">
        <v>100</v>
      </c>
      <c r="F82" s="172">
        <f t="shared" si="15"/>
        <v>20000</v>
      </c>
      <c r="G82" s="106">
        <v>30</v>
      </c>
      <c r="H82" s="172">
        <f t="shared" si="16"/>
        <v>6000</v>
      </c>
      <c r="I82" s="172">
        <f t="shared" si="17"/>
        <v>26000</v>
      </c>
    </row>
    <row r="83" spans="1:9" s="91" customFormat="1" ht="21.75">
      <c r="A83" s="92">
        <v>6.3</v>
      </c>
      <c r="B83" s="104" t="s">
        <v>153</v>
      </c>
      <c r="C83" s="94">
        <v>60</v>
      </c>
      <c r="D83" s="105" t="s">
        <v>93</v>
      </c>
      <c r="E83" s="96">
        <v>490</v>
      </c>
      <c r="F83" s="94">
        <f t="shared" si="15"/>
        <v>29400</v>
      </c>
      <c r="G83" s="96">
        <v>145</v>
      </c>
      <c r="H83" s="94">
        <f t="shared" si="16"/>
        <v>8700</v>
      </c>
      <c r="I83" s="94">
        <f t="shared" si="17"/>
        <v>38100</v>
      </c>
    </row>
    <row r="84" spans="1:9" s="91" customFormat="1" ht="21.75">
      <c r="A84" s="92">
        <v>6.4</v>
      </c>
      <c r="B84" s="104" t="s">
        <v>80</v>
      </c>
      <c r="C84" s="96">
        <v>75</v>
      </c>
      <c r="D84" s="105" t="s">
        <v>76</v>
      </c>
      <c r="E84" s="96">
        <v>50</v>
      </c>
      <c r="F84" s="94">
        <f t="shared" si="15"/>
        <v>3750</v>
      </c>
      <c r="G84" s="96">
        <v>38</v>
      </c>
      <c r="H84" s="94">
        <f t="shared" si="16"/>
        <v>2850</v>
      </c>
      <c r="I84" s="94">
        <f t="shared" si="17"/>
        <v>6600</v>
      </c>
    </row>
    <row r="85" spans="1:9" s="91" customFormat="1" ht="21.75">
      <c r="A85" s="92">
        <v>6.5</v>
      </c>
      <c r="B85" s="104" t="s">
        <v>92</v>
      </c>
      <c r="C85" s="96">
        <v>75</v>
      </c>
      <c r="D85" s="105" t="s">
        <v>76</v>
      </c>
      <c r="E85" s="96">
        <v>56</v>
      </c>
      <c r="F85" s="94">
        <f t="shared" si="15"/>
        <v>4200</v>
      </c>
      <c r="G85" s="96">
        <v>30</v>
      </c>
      <c r="H85" s="94">
        <f t="shared" si="16"/>
        <v>2250</v>
      </c>
      <c r="I85" s="94">
        <f t="shared" si="17"/>
        <v>6450</v>
      </c>
    </row>
    <row r="86" spans="1:9" s="91" customFormat="1" ht="42.75" customHeight="1">
      <c r="A86" s="92">
        <v>6.6</v>
      </c>
      <c r="B86" s="93" t="s">
        <v>152</v>
      </c>
      <c r="C86" s="90">
        <v>650</v>
      </c>
      <c r="D86" s="89" t="s">
        <v>76</v>
      </c>
      <c r="E86" s="94">
        <v>56</v>
      </c>
      <c r="F86" s="90">
        <f t="shared" si="15"/>
        <v>36400</v>
      </c>
      <c r="G86" s="94">
        <v>30</v>
      </c>
      <c r="H86" s="90">
        <f t="shared" si="16"/>
        <v>19500</v>
      </c>
      <c r="I86" s="90">
        <f t="shared" si="17"/>
        <v>55900</v>
      </c>
    </row>
    <row r="87" spans="1:9" s="91" customFormat="1" ht="43.5">
      <c r="A87" s="92">
        <v>6.7</v>
      </c>
      <c r="B87" s="95" t="s">
        <v>167</v>
      </c>
      <c r="C87" s="96">
        <v>1</v>
      </c>
      <c r="D87" s="89" t="s">
        <v>82</v>
      </c>
      <c r="E87" s="94">
        <v>0</v>
      </c>
      <c r="F87" s="90">
        <f>SUM(E87*C87)</f>
        <v>0</v>
      </c>
      <c r="G87" s="94">
        <v>50000</v>
      </c>
      <c r="H87" s="90">
        <f>SUM(G87*C87)</f>
        <v>50000</v>
      </c>
      <c r="I87" s="90">
        <f>SUM(H87+F87)</f>
        <v>50000</v>
      </c>
    </row>
    <row r="88" spans="1:9" s="91" customFormat="1" ht="21.75">
      <c r="A88" s="107"/>
      <c r="B88" s="104"/>
      <c r="C88" s="96"/>
      <c r="D88" s="105"/>
      <c r="E88" s="96"/>
      <c r="F88" s="101"/>
      <c r="G88" s="101"/>
      <c r="H88" s="101"/>
      <c r="I88" s="101"/>
    </row>
    <row r="89" spans="1:9" s="91" customFormat="1" ht="19.5" customHeight="1">
      <c r="A89" s="107"/>
      <c r="B89" s="108" t="s">
        <v>77</v>
      </c>
      <c r="C89" s="96"/>
      <c r="D89" s="105"/>
      <c r="E89" s="96"/>
      <c r="F89" s="101">
        <f>SUM(F81:F88)</f>
        <v>143750</v>
      </c>
      <c r="G89" s="101"/>
      <c r="H89" s="101">
        <f>SUM(H81:H88)</f>
        <v>92300</v>
      </c>
      <c r="I89" s="101">
        <f>SUM(I81:I88)</f>
        <v>236050</v>
      </c>
    </row>
    <row r="90" spans="1:9" s="91" customFormat="1" ht="21.75">
      <c r="A90" s="86">
        <v>7</v>
      </c>
      <c r="B90" s="109" t="s">
        <v>125</v>
      </c>
      <c r="C90" s="88"/>
      <c r="D90" s="89"/>
      <c r="E90" s="88"/>
      <c r="F90" s="90"/>
      <c r="G90" s="88"/>
      <c r="H90" s="90"/>
      <c r="I90" s="90"/>
    </row>
    <row r="91" spans="1:9" s="91" customFormat="1" ht="21.75">
      <c r="A91" s="92">
        <v>7.1</v>
      </c>
      <c r="B91" s="95" t="s">
        <v>133</v>
      </c>
      <c r="C91" s="96">
        <v>5</v>
      </c>
      <c r="D91" s="89" t="s">
        <v>140</v>
      </c>
      <c r="E91" s="94">
        <v>15000</v>
      </c>
      <c r="F91" s="90">
        <f aca="true" t="shared" si="18" ref="F91:F97">SUM(E91*C91)</f>
        <v>75000</v>
      </c>
      <c r="G91" s="94">
        <v>0</v>
      </c>
      <c r="H91" s="90">
        <f aca="true" t="shared" si="19" ref="H91:H97">SUM(G91*C91)</f>
        <v>0</v>
      </c>
      <c r="I91" s="90">
        <f aca="true" t="shared" si="20" ref="I91:I97">SUM(H91+F91)</f>
        <v>75000</v>
      </c>
    </row>
    <row r="92" spans="1:9" s="91" customFormat="1" ht="21.75">
      <c r="A92" s="92">
        <v>7.2</v>
      </c>
      <c r="B92" s="95" t="s">
        <v>134</v>
      </c>
      <c r="C92" s="94">
        <v>15</v>
      </c>
      <c r="D92" s="89" t="s">
        <v>140</v>
      </c>
      <c r="E92" s="94">
        <v>8000</v>
      </c>
      <c r="F92" s="90">
        <f t="shared" si="18"/>
        <v>120000</v>
      </c>
      <c r="G92" s="94">
        <v>0</v>
      </c>
      <c r="H92" s="90">
        <f t="shared" si="19"/>
        <v>0</v>
      </c>
      <c r="I92" s="90">
        <f t="shared" si="20"/>
        <v>120000</v>
      </c>
    </row>
    <row r="93" spans="1:9" s="91" customFormat="1" ht="21.75">
      <c r="A93" s="92">
        <v>7.3</v>
      </c>
      <c r="B93" s="95" t="s">
        <v>149</v>
      </c>
      <c r="C93" s="94">
        <v>6</v>
      </c>
      <c r="D93" s="89" t="s">
        <v>140</v>
      </c>
      <c r="E93" s="94">
        <v>10000</v>
      </c>
      <c r="F93" s="90">
        <f>SUM(E93*C93)</f>
        <v>60000</v>
      </c>
      <c r="G93" s="94">
        <v>0</v>
      </c>
      <c r="H93" s="90">
        <f>SUM(G93*C93)</f>
        <v>0</v>
      </c>
      <c r="I93" s="90">
        <f>SUM(H93+F93)</f>
        <v>60000</v>
      </c>
    </row>
    <row r="94" spans="1:9" s="91" customFormat="1" ht="43.5">
      <c r="A94" s="92">
        <v>7.4</v>
      </c>
      <c r="B94" s="170" t="s">
        <v>139</v>
      </c>
      <c r="C94" s="112">
        <v>180</v>
      </c>
      <c r="D94" s="171" t="s">
        <v>140</v>
      </c>
      <c r="E94" s="94">
        <v>630</v>
      </c>
      <c r="F94" s="90">
        <f t="shared" si="18"/>
        <v>113400</v>
      </c>
      <c r="G94" s="94">
        <v>0</v>
      </c>
      <c r="H94" s="90">
        <f t="shared" si="19"/>
        <v>0</v>
      </c>
      <c r="I94" s="90">
        <f t="shared" si="20"/>
        <v>113400</v>
      </c>
    </row>
    <row r="95" spans="1:9" s="91" customFormat="1" ht="43.5">
      <c r="A95" s="92">
        <v>7.5</v>
      </c>
      <c r="B95" s="170" t="s">
        <v>171</v>
      </c>
      <c r="C95" s="112">
        <v>42</v>
      </c>
      <c r="D95" s="171" t="s">
        <v>98</v>
      </c>
      <c r="E95" s="94">
        <v>0</v>
      </c>
      <c r="F95" s="90">
        <f>SUM(E95*C95)</f>
        <v>0</v>
      </c>
      <c r="G95" s="94">
        <v>150</v>
      </c>
      <c r="H95" s="90">
        <f>SUM(G95*C95)</f>
        <v>6300</v>
      </c>
      <c r="I95" s="90">
        <f>SUM(H95+F95)</f>
        <v>6300</v>
      </c>
    </row>
    <row r="96" spans="1:9" s="91" customFormat="1" ht="21.75">
      <c r="A96" s="92">
        <v>7.6</v>
      </c>
      <c r="B96" s="97" t="s">
        <v>135</v>
      </c>
      <c r="C96" s="94">
        <v>3</v>
      </c>
      <c r="D96" s="89" t="s">
        <v>140</v>
      </c>
      <c r="E96" s="94">
        <v>10000</v>
      </c>
      <c r="F96" s="90">
        <f t="shared" si="18"/>
        <v>30000</v>
      </c>
      <c r="G96" s="94">
        <v>0</v>
      </c>
      <c r="H96" s="90">
        <f t="shared" si="19"/>
        <v>0</v>
      </c>
      <c r="I96" s="90">
        <f t="shared" si="20"/>
        <v>30000</v>
      </c>
    </row>
    <row r="97" spans="1:9" s="91" customFormat="1" ht="21.75">
      <c r="A97" s="92">
        <v>7.7</v>
      </c>
      <c r="B97" s="97" t="s">
        <v>138</v>
      </c>
      <c r="C97" s="94">
        <v>120</v>
      </c>
      <c r="D97" s="89" t="s">
        <v>79</v>
      </c>
      <c r="E97" s="94">
        <v>50</v>
      </c>
      <c r="F97" s="90">
        <f t="shared" si="18"/>
        <v>6000</v>
      </c>
      <c r="G97" s="94">
        <v>20</v>
      </c>
      <c r="H97" s="90">
        <f t="shared" si="19"/>
        <v>2400</v>
      </c>
      <c r="I97" s="90">
        <f t="shared" si="20"/>
        <v>8400</v>
      </c>
    </row>
    <row r="98" spans="1:9" s="91" customFormat="1" ht="21.75">
      <c r="A98" s="107"/>
      <c r="B98" s="104"/>
      <c r="C98" s="96"/>
      <c r="D98" s="105"/>
      <c r="E98" s="96"/>
      <c r="F98" s="101"/>
      <c r="G98" s="101"/>
      <c r="H98" s="101"/>
      <c r="I98" s="101"/>
    </row>
    <row r="99" spans="1:9" s="91" customFormat="1" ht="19.5" customHeight="1">
      <c r="A99" s="107"/>
      <c r="B99" s="108" t="s">
        <v>77</v>
      </c>
      <c r="C99" s="96"/>
      <c r="D99" s="105"/>
      <c r="E99" s="96"/>
      <c r="F99" s="101">
        <f>SUM(F91:F98)</f>
        <v>404400</v>
      </c>
      <c r="G99" s="101"/>
      <c r="H99" s="101">
        <f>SUM(H91:H98)</f>
        <v>8700</v>
      </c>
      <c r="I99" s="101">
        <f>SUM(I91:I98)</f>
        <v>413100</v>
      </c>
    </row>
    <row r="100" spans="1:9" ht="21.75">
      <c r="A100" s="178"/>
      <c r="B100" s="176" t="s">
        <v>9</v>
      </c>
      <c r="C100" s="179"/>
      <c r="D100" s="180"/>
      <c r="E100" s="179"/>
      <c r="F100" s="179"/>
      <c r="G100" s="179"/>
      <c r="H100" s="179"/>
      <c r="I100" s="181"/>
    </row>
    <row r="101" spans="1:9" ht="21.75">
      <c r="A101" s="182"/>
      <c r="B101" s="174" t="s">
        <v>165</v>
      </c>
      <c r="C101" s="183"/>
      <c r="D101" s="184"/>
      <c r="E101" s="183"/>
      <c r="F101" s="183"/>
      <c r="G101" s="183"/>
      <c r="H101" s="183"/>
      <c r="I101" s="185"/>
    </row>
    <row r="102" spans="1:9" ht="21.75">
      <c r="A102" s="182"/>
      <c r="B102" s="175" t="s">
        <v>166</v>
      </c>
      <c r="C102" s="183"/>
      <c r="D102" s="184"/>
      <c r="E102" s="183"/>
      <c r="F102" s="183"/>
      <c r="G102" s="183"/>
      <c r="H102" s="183"/>
      <c r="I102" s="185"/>
    </row>
    <row r="103" spans="1:9" ht="21.75">
      <c r="A103" s="182"/>
      <c r="B103" s="174" t="s">
        <v>154</v>
      </c>
      <c r="C103" s="183"/>
      <c r="D103" s="184"/>
      <c r="E103" s="183"/>
      <c r="F103" s="183"/>
      <c r="G103" s="183"/>
      <c r="H103" s="183"/>
      <c r="I103" s="185"/>
    </row>
    <row r="104" spans="1:9" ht="21.75">
      <c r="A104" s="186"/>
      <c r="B104" s="187" t="s">
        <v>156</v>
      </c>
      <c r="C104" s="188"/>
      <c r="D104" s="189"/>
      <c r="E104" s="188"/>
      <c r="F104" s="188"/>
      <c r="G104" s="188"/>
      <c r="H104" s="188"/>
      <c r="I104" s="190"/>
    </row>
    <row r="105" ht="21.75">
      <c r="B105" s="175"/>
    </row>
  </sheetData>
  <sheetProtection/>
  <mergeCells count="5">
    <mergeCell ref="E4:F4"/>
    <mergeCell ref="G4:H4"/>
    <mergeCell ref="A1:I1"/>
    <mergeCell ref="A2:I2"/>
    <mergeCell ref="A3:I3"/>
  </mergeCells>
  <printOptions/>
  <pageMargins left="0.3937007874015748" right="0.2755905511811024" top="0.3937007874015748" bottom="0.3937007874015748" header="0.3937007874015748" footer="0.5118110236220472"/>
  <pageSetup horizontalDpi="600" verticalDpi="600" orientation="portrait" paperSize="9" scale="95" r:id="rId2"/>
  <headerFooter alignWithMargins="0">
    <oddHeader>&amp;R&amp;"TH Sarabun New,ธรรมดา" ปร.4 &amp;P / &amp;N</oddHeader>
  </headerFooter>
  <rowBreaks count="3" manualBreakCount="3">
    <brk id="38" max="8" man="1"/>
    <brk id="60" max="8" man="1"/>
    <brk id="79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1:Z114"/>
  <sheetViews>
    <sheetView showGridLines="0" showRowColHeaders="0" zoomScaleSheetLayoutView="100" zoomScalePageLayoutView="0" workbookViewId="0" topLeftCell="A10">
      <selection activeCell="E6" sqref="E6"/>
    </sheetView>
  </sheetViews>
  <sheetFormatPr defaultColWidth="9.140625" defaultRowHeight="21.75"/>
  <cols>
    <col min="1" max="1" width="9.140625" style="10" customWidth="1"/>
    <col min="2" max="2" width="7.8515625" style="10" customWidth="1"/>
    <col min="3" max="3" width="14.7109375" style="10" customWidth="1"/>
    <col min="4" max="7" width="11.28125" style="10" customWidth="1"/>
    <col min="8" max="9" width="12.28125" style="10" customWidth="1"/>
    <col min="10" max="11" width="7.7109375" style="10" customWidth="1"/>
    <col min="12" max="16384" width="9.140625" style="10" customWidth="1"/>
  </cols>
  <sheetData>
    <row r="1" spans="2:11" ht="26.25">
      <c r="B1" s="288" t="s">
        <v>59</v>
      </c>
      <c r="C1" s="288"/>
      <c r="D1" s="288"/>
      <c r="E1" s="288"/>
      <c r="F1" s="288"/>
      <c r="G1" s="288"/>
      <c r="H1" s="288"/>
      <c r="I1" s="288"/>
      <c r="J1" s="288"/>
      <c r="K1" s="288"/>
    </row>
    <row r="2" spans="2:11" ht="23.25">
      <c r="B2" s="289" t="str">
        <f>สรุป!A2</f>
        <v>ก่อสร้างหลังคาสนามกีฬาอเนกประสงค์</v>
      </c>
      <c r="C2" s="289"/>
      <c r="D2" s="289"/>
      <c r="E2" s="289"/>
      <c r="F2" s="289"/>
      <c r="G2" s="289"/>
      <c r="H2" s="289"/>
      <c r="I2" s="289"/>
      <c r="J2" s="289"/>
      <c r="K2" s="289"/>
    </row>
    <row r="3" spans="2:11" ht="23.25">
      <c r="B3" s="289" t="str">
        <f>('[3]สรุป'!A3)</f>
        <v>มหาวิทยาลัยราชภัฏอุตรดิตถ์</v>
      </c>
      <c r="C3" s="289"/>
      <c r="D3" s="289"/>
      <c r="E3" s="289"/>
      <c r="F3" s="289"/>
      <c r="G3" s="289"/>
      <c r="H3" s="289"/>
      <c r="I3" s="289"/>
      <c r="J3" s="289"/>
      <c r="K3" s="289"/>
    </row>
    <row r="4" spans="2:11" ht="15" customHeight="1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1" ht="16.5" customHeight="1">
      <c r="B5" s="290" t="s">
        <v>52</v>
      </c>
      <c r="C5" s="291"/>
      <c r="D5" s="291"/>
      <c r="E5" s="12">
        <f>SUM(สรุป!F8)/1000000</f>
        <v>17.977321943339998</v>
      </c>
      <c r="F5" s="13" t="s">
        <v>29</v>
      </c>
      <c r="G5" s="14"/>
      <c r="H5" s="14"/>
      <c r="I5" s="14"/>
      <c r="J5" s="15"/>
      <c r="K5" s="16"/>
    </row>
    <row r="6" spans="2:11" ht="18" customHeight="1">
      <c r="B6" s="17"/>
      <c r="C6" s="18" t="s">
        <v>33</v>
      </c>
      <c r="D6" s="18"/>
      <c r="E6" s="18">
        <f>SUM(E41)</f>
        <v>0</v>
      </c>
      <c r="F6" s="19" t="s">
        <v>34</v>
      </c>
      <c r="G6" s="18" t="s">
        <v>35</v>
      </c>
      <c r="H6" s="20"/>
      <c r="I6" s="18"/>
      <c r="J6" s="18">
        <f>SUM(J41)</f>
        <v>7</v>
      </c>
      <c r="K6" s="21" t="s">
        <v>36</v>
      </c>
    </row>
    <row r="7" spans="2:11" ht="21" customHeight="1">
      <c r="B7" s="22"/>
      <c r="C7" s="23" t="s">
        <v>37</v>
      </c>
      <c r="D7" s="23"/>
      <c r="E7" s="23">
        <f>SUM(E42)</f>
        <v>0</v>
      </c>
      <c r="F7" s="24" t="s">
        <v>34</v>
      </c>
      <c r="G7" s="25" t="s">
        <v>38</v>
      </c>
      <c r="H7" s="23"/>
      <c r="I7" s="23"/>
      <c r="J7" s="23">
        <f>SUM(J42)</f>
        <v>7</v>
      </c>
      <c r="K7" s="26" t="s">
        <v>34</v>
      </c>
    </row>
    <row r="8" spans="2:11" ht="20.25" customHeight="1">
      <c r="B8" s="264" t="s">
        <v>40</v>
      </c>
      <c r="C8" s="292"/>
      <c r="D8" s="264" t="s">
        <v>24</v>
      </c>
      <c r="E8" s="266"/>
      <c r="F8" s="266"/>
      <c r="G8" s="265"/>
      <c r="H8" s="27" t="s">
        <v>41</v>
      </c>
      <c r="I8" s="29" t="s">
        <v>42</v>
      </c>
      <c r="J8" s="264" t="s">
        <v>39</v>
      </c>
      <c r="K8" s="265"/>
    </row>
    <row r="9" spans="2:11" ht="21.75" customHeight="1">
      <c r="B9" s="273" t="s">
        <v>29</v>
      </c>
      <c r="C9" s="294"/>
      <c r="D9" s="275" t="s">
        <v>34</v>
      </c>
      <c r="E9" s="276"/>
      <c r="F9" s="276"/>
      <c r="G9" s="277"/>
      <c r="H9" s="30" t="s">
        <v>44</v>
      </c>
      <c r="I9" s="31" t="s">
        <v>45</v>
      </c>
      <c r="J9" s="273"/>
      <c r="K9" s="274"/>
    </row>
    <row r="10" spans="2:11" ht="21.75" customHeight="1">
      <c r="B10" s="273"/>
      <c r="C10" s="294"/>
      <c r="D10" s="29" t="s">
        <v>43</v>
      </c>
      <c r="E10" s="28" t="s">
        <v>43</v>
      </c>
      <c r="F10" s="29" t="s">
        <v>43</v>
      </c>
      <c r="G10" s="29" t="s">
        <v>8</v>
      </c>
      <c r="H10" s="32"/>
      <c r="I10" s="33"/>
      <c r="J10" s="273"/>
      <c r="K10" s="274"/>
    </row>
    <row r="11" spans="2:11" ht="20.25" customHeight="1">
      <c r="B11" s="279"/>
      <c r="C11" s="281"/>
      <c r="D11" s="35" t="s">
        <v>46</v>
      </c>
      <c r="E11" s="36" t="s">
        <v>47</v>
      </c>
      <c r="F11" s="35" t="s">
        <v>48</v>
      </c>
      <c r="G11" s="35" t="s">
        <v>49</v>
      </c>
      <c r="H11" s="34"/>
      <c r="I11" s="37"/>
      <c r="J11" s="279"/>
      <c r="K11" s="293"/>
    </row>
    <row r="12" spans="2:11" ht="19.5" customHeight="1">
      <c r="B12" s="38" t="s">
        <v>51</v>
      </c>
      <c r="C12" s="38">
        <f>(IF(OR(E5=C47,E5&lt;C47),E5,(IF(AND(E5&gt;C47,(OR(E5&lt;C69,E5=C69))),VLOOKUP(E5,C47:F69,1),E5))))</f>
        <v>15</v>
      </c>
      <c r="D12" s="39">
        <f>(IF(OR(E5=C47,E5&lt;C47),D47,(IF(AND(E5&gt;C47,(OR(E5&lt;C69,E5=C69))),VLOOKUP(E5,C47:F69,2),D70))))</f>
        <v>11.7</v>
      </c>
      <c r="E12" s="40">
        <f>(IF(OR(E5=C47,E5&lt;C47),E47,(IF(AND(E5&gt;C47,(OR(E5&lt;C69,E5=C69))),VLOOKUP(E5,C47:F69,3),E70))))</f>
        <v>1.1666</v>
      </c>
      <c r="F12" s="39">
        <f>(IF(OR(E5=C47,E5&lt;C47),F47,(IF(AND(E5&gt;C47,(OR(E5&lt;C69,E5=C69))),VLOOKUP(E5,C47:F69,4),F70))))</f>
        <v>5</v>
      </c>
      <c r="G12" s="39">
        <f>(D12+E12+F12)</f>
        <v>17.8666</v>
      </c>
      <c r="H12" s="39">
        <f>1+(G12/100)</f>
        <v>1.178666</v>
      </c>
      <c r="I12" s="39">
        <f>1+($J$42/100)</f>
        <v>1.07</v>
      </c>
      <c r="J12" s="282">
        <f>(H12*I12)</f>
        <v>1.26117262</v>
      </c>
      <c r="K12" s="282"/>
    </row>
    <row r="13" spans="2:11" ht="20.25" customHeight="1">
      <c r="B13" s="38" t="s">
        <v>50</v>
      </c>
      <c r="C13" s="38">
        <f ca="1">(IF(OR(E5=C47,E5&lt;C47),E5,(IF(AND(E5&gt;C47,(OR(E5&lt;C69,E5=C69))),(IF(VLOOKUP(E5,C47:F69,1)=E5,E5,OFFSET(C47:C69,MATCH(C12,C47:C69),0,1,1))),E5))))</f>
        <v>20</v>
      </c>
      <c r="D13" s="39">
        <f ca="1">(IF(OR(E5=C47,E5&lt;C47),D12,(IF(AND(E5&gt;C47,(OR(E5&lt;C69,E5=C69))),(IF(VLOOKUP(E5,C47:F69,1)=E5,D12,OFFSET(C47:C69,MATCH(C12,C47:C69),1,1,1))),D12))))</f>
        <v>10.9884</v>
      </c>
      <c r="E13" s="40">
        <f ca="1">(IF(OR(E5=C47,E5&lt;C47),E12,(IF(AND(E5&gt;C47,(OR(E5&lt;C69,E5=C69))),(IF(VLOOKUP(E5,C47:F69,1)=E5,E12,OFFSET(C47:C69,MATCH(C12,C47:C69),2,1,1))),E12))))</f>
        <v>1.1666</v>
      </c>
      <c r="F13" s="39">
        <f ca="1">(IF(OR(E5=C47,E5&lt;C47),F12,(IF(AND(E5&gt;C47,(OR(E5&lt;C69,E5=C69))),(IF(VLOOKUP(E5,C47:F69,1)=E5,F12,OFFSET(C47:C69,MATCH(C12,C47:C69),3,1,1))),F12))))</f>
        <v>5</v>
      </c>
      <c r="G13" s="39">
        <f>(D13+E13+F13)</f>
        <v>17.155</v>
      </c>
      <c r="H13" s="39">
        <f>1+(G13/100)</f>
        <v>1.17155</v>
      </c>
      <c r="I13" s="39">
        <f>1+($J$42/100)</f>
        <v>1.07</v>
      </c>
      <c r="J13" s="283">
        <f>(H13*I13)</f>
        <v>1.2535585000000002</v>
      </c>
      <c r="K13" s="284"/>
    </row>
    <row r="14" spans="2:11" ht="17.25" customHeight="1">
      <c r="B14" s="41" t="s">
        <v>58</v>
      </c>
      <c r="C14" s="42">
        <f>SUM(E5)</f>
        <v>17.977321943339998</v>
      </c>
      <c r="D14" s="43">
        <f>IF(C12=C13,D13,(D13-(((C13-C14)*(D13-D12))/(C13-C12))))</f>
        <v>11.276267541023852</v>
      </c>
      <c r="E14" s="43">
        <f>IF(C12=C13,E13,(E13-(((C13-C14)*(E13-E12))/(C13-C12))))</f>
        <v>1.1666</v>
      </c>
      <c r="F14" s="43">
        <f>IF(C12=C13,F13,(F13-(((C13-C14)*(F13-F12))/(C13-C12))))</f>
        <v>5</v>
      </c>
      <c r="G14" s="43">
        <f>SUM(D14:F14)</f>
        <v>17.44286754102385</v>
      </c>
      <c r="H14" s="43">
        <f>1+(G14/100)</f>
        <v>1.1744286754102384</v>
      </c>
      <c r="I14" s="43">
        <f>1+($J$42/100)</f>
        <v>1.07</v>
      </c>
      <c r="J14" s="285">
        <f>(H14*I14)</f>
        <v>1.2566386826889553</v>
      </c>
      <c r="K14" s="286"/>
    </row>
    <row r="15" spans="2:12" ht="18.75" customHeight="1"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7"/>
    </row>
    <row r="16" spans="2:12" ht="20.25" customHeight="1">
      <c r="B16" s="44"/>
      <c r="C16" s="48"/>
      <c r="D16" s="49"/>
      <c r="E16" s="49"/>
      <c r="F16" s="49"/>
      <c r="G16" s="49"/>
      <c r="H16" s="49"/>
      <c r="I16" s="49"/>
      <c r="J16" s="287">
        <f>IF(IF(C12=C13,J13,(J13-(((C13-C14)*(J13-J12))/(C13-C12))))=J14,"","Try again")</f>
      </c>
      <c r="K16" s="287"/>
      <c r="L16" s="47"/>
    </row>
    <row r="17" spans="2:11" ht="18.75" customHeight="1">
      <c r="B17" s="44"/>
      <c r="C17" s="50" t="s">
        <v>57</v>
      </c>
      <c r="D17" s="49"/>
      <c r="E17" s="49"/>
      <c r="F17" s="49"/>
      <c r="G17" s="49"/>
      <c r="H17" s="51">
        <f>SUM(E5)*1000000</f>
        <v>17977321.94334</v>
      </c>
      <c r="I17" s="46" t="s">
        <v>10</v>
      </c>
      <c r="J17" s="49"/>
      <c r="K17" s="49"/>
    </row>
    <row r="18" spans="2:11" ht="19.5" customHeight="1">
      <c r="B18" s="44"/>
      <c r="C18" s="52" t="s">
        <v>62</v>
      </c>
      <c r="D18" s="53" t="s">
        <v>60</v>
      </c>
      <c r="E18" s="54"/>
      <c r="F18" s="54"/>
      <c r="G18" s="54"/>
      <c r="H18" s="55">
        <f>SUM(D14)</f>
        <v>11.276267541023852</v>
      </c>
      <c r="I18" s="56" t="s">
        <v>34</v>
      </c>
      <c r="J18" s="54"/>
      <c r="K18" s="49"/>
    </row>
    <row r="19" spans="2:11" ht="19.5" customHeight="1">
      <c r="B19" s="44"/>
      <c r="C19" s="52" t="s">
        <v>62</v>
      </c>
      <c r="D19" s="53" t="s">
        <v>30</v>
      </c>
      <c r="E19" s="54"/>
      <c r="F19" s="54"/>
      <c r="G19" s="54"/>
      <c r="H19" s="55">
        <f>SUM(E14)</f>
        <v>1.1666</v>
      </c>
      <c r="I19" s="56" t="s">
        <v>34</v>
      </c>
      <c r="J19" s="54"/>
      <c r="K19" s="49"/>
    </row>
    <row r="20" spans="2:11" ht="20.25" customHeight="1">
      <c r="B20" s="44"/>
      <c r="C20" s="52" t="s">
        <v>62</v>
      </c>
      <c r="D20" s="53" t="s">
        <v>31</v>
      </c>
      <c r="E20" s="54"/>
      <c r="F20" s="54"/>
      <c r="G20" s="54"/>
      <c r="H20" s="55">
        <f>SUM(F14)</f>
        <v>5</v>
      </c>
      <c r="I20" s="56" t="s">
        <v>34</v>
      </c>
      <c r="J20" s="54"/>
      <c r="K20" s="49"/>
    </row>
    <row r="21" spans="2:11" ht="19.5" customHeight="1">
      <c r="B21" s="44"/>
      <c r="C21" s="52" t="s">
        <v>62</v>
      </c>
      <c r="D21" s="53" t="s">
        <v>61</v>
      </c>
      <c r="E21" s="54"/>
      <c r="F21" s="54"/>
      <c r="G21" s="54"/>
      <c r="H21" s="55">
        <f>SUM(J7)</f>
        <v>7</v>
      </c>
      <c r="I21" s="56" t="s">
        <v>34</v>
      </c>
      <c r="J21" s="54"/>
      <c r="K21" s="49"/>
    </row>
    <row r="22" spans="2:11" ht="18.75" customHeight="1">
      <c r="B22" s="57"/>
      <c r="C22" s="52" t="s">
        <v>62</v>
      </c>
      <c r="D22" s="58" t="s">
        <v>67</v>
      </c>
      <c r="E22" s="59"/>
      <c r="F22" s="59"/>
      <c r="G22" s="59"/>
      <c r="H22" s="55">
        <f>ROUNDDOWN(J14,4)</f>
        <v>1.2566</v>
      </c>
      <c r="I22" s="56" t="s">
        <v>34</v>
      </c>
      <c r="J22" s="59"/>
      <c r="K22" s="57"/>
    </row>
    <row r="23" spans="2:11" ht="18" customHeight="1">
      <c r="B23" s="18"/>
      <c r="C23" s="59"/>
      <c r="D23" s="58"/>
      <c r="E23" s="59"/>
      <c r="F23" s="59"/>
      <c r="G23" s="59"/>
      <c r="H23" s="59"/>
      <c r="I23" s="59"/>
      <c r="J23" s="59"/>
      <c r="K23" s="57"/>
    </row>
    <row r="24" spans="2:11" ht="19.5" customHeight="1">
      <c r="B24" s="57"/>
      <c r="C24" s="57"/>
      <c r="D24" s="60"/>
      <c r="E24" s="57"/>
      <c r="F24" s="57"/>
      <c r="G24" s="57"/>
      <c r="H24" s="61"/>
      <c r="I24" s="57"/>
      <c r="J24" s="57"/>
      <c r="K24" s="57"/>
    </row>
    <row r="25" spans="2:11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2:11" ht="20.2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2:11" ht="20.2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2:11" ht="20.2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2:11" ht="20.25" customHeight="1"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2:11" ht="20.2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2:11" ht="21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2:11" ht="21" customHeight="1">
      <c r="B32" s="57"/>
      <c r="C32" s="57"/>
      <c r="D32" s="57"/>
      <c r="E32" s="62"/>
      <c r="F32" s="57"/>
      <c r="G32" s="57"/>
      <c r="H32" s="57"/>
      <c r="I32" s="57"/>
      <c r="J32" s="57"/>
      <c r="K32" s="57"/>
    </row>
    <row r="33" spans="2:11" ht="21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2:11" ht="21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2:11" ht="21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2:11" ht="21" customHeight="1"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2:11" ht="21" customHeight="1"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2:11" ht="21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2:11" ht="21" customHeight="1"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2:11" ht="21" customHeight="1">
      <c r="B40" s="288" t="s">
        <v>32</v>
      </c>
      <c r="C40" s="288"/>
      <c r="D40" s="288"/>
      <c r="E40" s="288"/>
      <c r="F40" s="288"/>
      <c r="G40" s="288"/>
      <c r="H40" s="288"/>
      <c r="I40" s="288"/>
      <c r="J40" s="288"/>
      <c r="K40" s="288"/>
    </row>
    <row r="41" spans="2:11" ht="21.75">
      <c r="B41" s="18"/>
      <c r="C41" s="18" t="s">
        <v>33</v>
      </c>
      <c r="D41" s="18"/>
      <c r="E41" s="18">
        <f>SUM('[1]FACTOR F'!$D$5)</f>
        <v>0</v>
      </c>
      <c r="F41" s="19" t="s">
        <v>34</v>
      </c>
      <c r="G41" s="18" t="s">
        <v>35</v>
      </c>
      <c r="H41" s="20"/>
      <c r="I41" s="18"/>
      <c r="J41" s="18">
        <v>7</v>
      </c>
      <c r="K41" s="19" t="s">
        <v>36</v>
      </c>
    </row>
    <row r="42" spans="2:11" ht="21.75">
      <c r="B42" s="18"/>
      <c r="C42" s="18" t="s">
        <v>37</v>
      </c>
      <c r="D42" s="18"/>
      <c r="E42" s="18">
        <f>SUM('[1]FACTOR F'!$D$6)</f>
        <v>0</v>
      </c>
      <c r="F42" s="19" t="s">
        <v>34</v>
      </c>
      <c r="G42" s="63" t="s">
        <v>38</v>
      </c>
      <c r="H42" s="18"/>
      <c r="I42" s="18"/>
      <c r="J42" s="18">
        <v>7</v>
      </c>
      <c r="K42" s="64" t="s">
        <v>34</v>
      </c>
    </row>
    <row r="43" spans="2:11" ht="21.75">
      <c r="B43" s="264"/>
      <c r="C43" s="265"/>
      <c r="D43" s="264" t="s">
        <v>24</v>
      </c>
      <c r="E43" s="266"/>
      <c r="F43" s="266"/>
      <c r="G43" s="265"/>
      <c r="H43" s="65"/>
      <c r="I43" s="65"/>
      <c r="J43" s="267" t="s">
        <v>39</v>
      </c>
      <c r="K43" s="268"/>
    </row>
    <row r="44" spans="2:11" ht="21.75">
      <c r="B44" s="273" t="s">
        <v>40</v>
      </c>
      <c r="C44" s="274"/>
      <c r="D44" s="275" t="s">
        <v>34</v>
      </c>
      <c r="E44" s="276"/>
      <c r="F44" s="276"/>
      <c r="G44" s="277"/>
      <c r="H44" s="31" t="s">
        <v>41</v>
      </c>
      <c r="I44" s="31" t="s">
        <v>42</v>
      </c>
      <c r="J44" s="269"/>
      <c r="K44" s="270"/>
    </row>
    <row r="45" spans="2:11" ht="21.75">
      <c r="B45" s="273" t="s">
        <v>29</v>
      </c>
      <c r="C45" s="278"/>
      <c r="D45" s="29" t="s">
        <v>43</v>
      </c>
      <c r="E45" s="28" t="s">
        <v>43</v>
      </c>
      <c r="F45" s="29" t="s">
        <v>43</v>
      </c>
      <c r="G45" s="29" t="s">
        <v>8</v>
      </c>
      <c r="H45" s="31" t="s">
        <v>44</v>
      </c>
      <c r="I45" s="31" t="s">
        <v>45</v>
      </c>
      <c r="J45" s="269"/>
      <c r="K45" s="270"/>
    </row>
    <row r="46" spans="2:11" ht="21.75">
      <c r="B46" s="279"/>
      <c r="C46" s="280"/>
      <c r="D46" s="35" t="s">
        <v>46</v>
      </c>
      <c r="E46" s="36" t="s">
        <v>47</v>
      </c>
      <c r="F46" s="35" t="s">
        <v>48</v>
      </c>
      <c r="G46" s="35" t="s">
        <v>49</v>
      </c>
      <c r="H46" s="35"/>
      <c r="I46" s="37"/>
      <c r="J46" s="271"/>
      <c r="K46" s="272"/>
    </row>
    <row r="47" spans="2:11" ht="21.75">
      <c r="B47" s="66" t="s">
        <v>53</v>
      </c>
      <c r="C47" s="14">
        <v>0.5</v>
      </c>
      <c r="D47" s="67">
        <v>15.6856</v>
      </c>
      <c r="E47" s="49">
        <v>1.1666</v>
      </c>
      <c r="F47" s="68">
        <v>5.5</v>
      </c>
      <c r="G47" s="69">
        <f aca="true" t="shared" si="0" ref="G47:G70">(D47+E47+F47)</f>
        <v>22.3522</v>
      </c>
      <c r="H47" s="67">
        <f aca="true" t="shared" si="1" ref="H47:H70">1+(G47/100)</f>
        <v>1.223522</v>
      </c>
      <c r="I47" s="67">
        <f aca="true" t="shared" si="2" ref="I47:I70">1+($J$42/100)</f>
        <v>1.07</v>
      </c>
      <c r="J47" s="262">
        <f aca="true" t="shared" si="3" ref="J47:J70">(H47*I47)</f>
        <v>1.3091685400000002</v>
      </c>
      <c r="K47" s="263"/>
    </row>
    <row r="48" spans="2:11" ht="21.75">
      <c r="B48" s="70"/>
      <c r="C48" s="44">
        <v>1</v>
      </c>
      <c r="D48" s="67">
        <v>15.4654</v>
      </c>
      <c r="E48" s="49">
        <v>1.1666</v>
      </c>
      <c r="F48" s="68">
        <v>5.5</v>
      </c>
      <c r="G48" s="69">
        <f t="shared" si="0"/>
        <v>22.132</v>
      </c>
      <c r="H48" s="71">
        <f t="shared" si="1"/>
        <v>1.22132</v>
      </c>
      <c r="I48" s="71">
        <f t="shared" si="2"/>
        <v>1.07</v>
      </c>
      <c r="J48" s="258">
        <f t="shared" si="3"/>
        <v>1.3068124</v>
      </c>
      <c r="K48" s="259"/>
    </row>
    <row r="49" spans="2:11" ht="21.75">
      <c r="B49" s="70"/>
      <c r="C49" s="44">
        <v>2</v>
      </c>
      <c r="D49" s="67">
        <v>15.322</v>
      </c>
      <c r="E49" s="49">
        <v>1.1666</v>
      </c>
      <c r="F49" s="68">
        <v>5.5</v>
      </c>
      <c r="G49" s="69">
        <f t="shared" si="0"/>
        <v>21.988599999999998</v>
      </c>
      <c r="H49" s="71">
        <f t="shared" si="1"/>
        <v>1.219886</v>
      </c>
      <c r="I49" s="71">
        <f t="shared" si="2"/>
        <v>1.07</v>
      </c>
      <c r="J49" s="258">
        <f t="shared" si="3"/>
        <v>1.30527802</v>
      </c>
      <c r="K49" s="259"/>
    </row>
    <row r="50" spans="2:11" ht="21.75">
      <c r="B50" s="70"/>
      <c r="C50" s="44">
        <v>5</v>
      </c>
      <c r="D50" s="67">
        <v>15.0245</v>
      </c>
      <c r="E50" s="49">
        <v>1.1666</v>
      </c>
      <c r="F50" s="68">
        <v>5.5</v>
      </c>
      <c r="G50" s="69">
        <f t="shared" si="0"/>
        <v>21.6911</v>
      </c>
      <c r="H50" s="71">
        <f t="shared" si="1"/>
        <v>1.216911</v>
      </c>
      <c r="I50" s="71">
        <f t="shared" si="2"/>
        <v>1.07</v>
      </c>
      <c r="J50" s="258">
        <f t="shared" si="3"/>
        <v>1.30209477</v>
      </c>
      <c r="K50" s="259"/>
    </row>
    <row r="51" spans="2:11" ht="21.75">
      <c r="B51" s="70"/>
      <c r="C51" s="44">
        <v>10</v>
      </c>
      <c r="D51" s="67">
        <v>14.9659</v>
      </c>
      <c r="E51" s="49">
        <v>1.1666</v>
      </c>
      <c r="F51" s="68">
        <f>'[1]ดอกเบี้ย,กำไร'!G52</f>
        <v>5</v>
      </c>
      <c r="G51" s="69">
        <f t="shared" si="0"/>
        <v>21.1325</v>
      </c>
      <c r="H51" s="71">
        <f t="shared" si="1"/>
        <v>1.211325</v>
      </c>
      <c r="I51" s="71">
        <f t="shared" si="2"/>
        <v>1.07</v>
      </c>
      <c r="J51" s="258">
        <f t="shared" si="3"/>
        <v>1.29611775</v>
      </c>
      <c r="K51" s="259"/>
    </row>
    <row r="52" spans="2:11" ht="21.75">
      <c r="B52" s="70"/>
      <c r="C52" s="44">
        <v>15</v>
      </c>
      <c r="D52" s="67">
        <v>11.7</v>
      </c>
      <c r="E52" s="49">
        <v>1.1666</v>
      </c>
      <c r="F52" s="68">
        <f>'[1]ดอกเบี้ย,กำไร'!G53</f>
        <v>5</v>
      </c>
      <c r="G52" s="69">
        <f t="shared" si="0"/>
        <v>17.8666</v>
      </c>
      <c r="H52" s="71">
        <f t="shared" si="1"/>
        <v>1.178666</v>
      </c>
      <c r="I52" s="71">
        <f t="shared" si="2"/>
        <v>1.07</v>
      </c>
      <c r="J52" s="258">
        <f t="shared" si="3"/>
        <v>1.26117262</v>
      </c>
      <c r="K52" s="259"/>
    </row>
    <row r="53" spans="2:11" ht="21.75">
      <c r="B53" s="70"/>
      <c r="C53" s="44">
        <v>20</v>
      </c>
      <c r="D53" s="67">
        <v>10.9884</v>
      </c>
      <c r="E53" s="49">
        <v>1.1666</v>
      </c>
      <c r="F53" s="68">
        <f>'[1]ดอกเบี้ย,กำไร'!G54</f>
        <v>5</v>
      </c>
      <c r="G53" s="69">
        <f t="shared" si="0"/>
        <v>17.155</v>
      </c>
      <c r="H53" s="71">
        <f t="shared" si="1"/>
        <v>1.17155</v>
      </c>
      <c r="I53" s="71">
        <f t="shared" si="2"/>
        <v>1.07</v>
      </c>
      <c r="J53" s="258">
        <f t="shared" si="3"/>
        <v>1.2535585000000002</v>
      </c>
      <c r="K53" s="259"/>
    </row>
    <row r="54" spans="2:26" ht="21" customHeight="1">
      <c r="B54" s="70"/>
      <c r="C54" s="44">
        <v>25</v>
      </c>
      <c r="D54" s="67">
        <v>8.9675</v>
      </c>
      <c r="E54" s="49">
        <v>1.1666</v>
      </c>
      <c r="F54" s="68">
        <f>'[1]ดอกเบี้ย,กำไร'!G55</f>
        <v>4.5</v>
      </c>
      <c r="G54" s="69">
        <f t="shared" si="0"/>
        <v>14.6341</v>
      </c>
      <c r="H54" s="71">
        <f t="shared" si="1"/>
        <v>1.146341</v>
      </c>
      <c r="I54" s="71">
        <f t="shared" si="2"/>
        <v>1.07</v>
      </c>
      <c r="J54" s="258">
        <f t="shared" si="3"/>
        <v>1.2265848700000002</v>
      </c>
      <c r="K54" s="259"/>
      <c r="Z54" s="47"/>
    </row>
    <row r="55" spans="2:26" ht="21" customHeight="1">
      <c r="B55" s="70"/>
      <c r="C55" s="44">
        <v>30</v>
      </c>
      <c r="D55" s="67">
        <v>8.1852</v>
      </c>
      <c r="E55" s="49">
        <v>1.1666</v>
      </c>
      <c r="F55" s="68">
        <f>'[1]ดอกเบี้ย,กำไร'!G56</f>
        <v>4.5</v>
      </c>
      <c r="G55" s="69">
        <f t="shared" si="0"/>
        <v>13.8518</v>
      </c>
      <c r="H55" s="71">
        <f t="shared" si="1"/>
        <v>1.138518</v>
      </c>
      <c r="I55" s="71">
        <f t="shared" si="2"/>
        <v>1.07</v>
      </c>
      <c r="J55" s="258">
        <f t="shared" si="3"/>
        <v>1.2182142599999999</v>
      </c>
      <c r="K55" s="259"/>
      <c r="Z55" s="47"/>
    </row>
    <row r="56" spans="2:11" ht="21" customHeight="1">
      <c r="B56" s="70"/>
      <c r="C56" s="44">
        <f aca="true" t="shared" si="4" ref="C56:C62">C55+10</f>
        <v>40</v>
      </c>
      <c r="D56" s="67">
        <v>8.1487</v>
      </c>
      <c r="E56" s="49">
        <v>1.1666</v>
      </c>
      <c r="F56" s="68">
        <f>'[1]ดอกเบี้ย,กำไร'!G57</f>
        <v>4.5</v>
      </c>
      <c r="G56" s="69">
        <f t="shared" si="0"/>
        <v>13.8153</v>
      </c>
      <c r="H56" s="71">
        <f t="shared" si="1"/>
        <v>1.138153</v>
      </c>
      <c r="I56" s="71">
        <f t="shared" si="2"/>
        <v>1.07</v>
      </c>
      <c r="J56" s="258">
        <f t="shared" si="3"/>
        <v>1.21782371</v>
      </c>
      <c r="K56" s="259"/>
    </row>
    <row r="57" spans="2:11" ht="21" customHeight="1">
      <c r="B57" s="70"/>
      <c r="C57" s="44">
        <f t="shared" si="4"/>
        <v>50</v>
      </c>
      <c r="D57" s="67">
        <v>8.1374</v>
      </c>
      <c r="E57" s="49">
        <v>1.1666</v>
      </c>
      <c r="F57" s="68">
        <f>'[1]ดอกเบี้ย,กำไร'!G58</f>
        <v>4.5</v>
      </c>
      <c r="G57" s="69">
        <f t="shared" si="0"/>
        <v>13.804</v>
      </c>
      <c r="H57" s="71">
        <f t="shared" si="1"/>
        <v>1.13804</v>
      </c>
      <c r="I57" s="71">
        <f t="shared" si="2"/>
        <v>1.07</v>
      </c>
      <c r="J57" s="258">
        <f t="shared" si="3"/>
        <v>1.2177028</v>
      </c>
      <c r="K57" s="259"/>
    </row>
    <row r="58" spans="2:11" ht="21" customHeight="1">
      <c r="B58" s="70"/>
      <c r="C58" s="44">
        <f t="shared" si="4"/>
        <v>60</v>
      </c>
      <c r="D58" s="67">
        <v>7.7209</v>
      </c>
      <c r="E58" s="49">
        <v>1.1666</v>
      </c>
      <c r="F58" s="68">
        <f>'[1]ดอกเบี้ย,กำไร'!G59</f>
        <v>4</v>
      </c>
      <c r="G58" s="69">
        <f t="shared" si="0"/>
        <v>12.887500000000001</v>
      </c>
      <c r="H58" s="71">
        <f t="shared" si="1"/>
        <v>1.128875</v>
      </c>
      <c r="I58" s="71">
        <f t="shared" si="2"/>
        <v>1.07</v>
      </c>
      <c r="J58" s="258">
        <f t="shared" si="3"/>
        <v>1.2078962500000001</v>
      </c>
      <c r="K58" s="259"/>
    </row>
    <row r="59" spans="2:11" ht="21" customHeight="1">
      <c r="B59" s="70"/>
      <c r="C59" s="44">
        <f t="shared" si="4"/>
        <v>70</v>
      </c>
      <c r="D59" s="67">
        <v>7.6178</v>
      </c>
      <c r="E59" s="49">
        <v>1.1666</v>
      </c>
      <c r="F59" s="68">
        <f>'[1]ดอกเบี้ย,กำไร'!G60</f>
        <v>4</v>
      </c>
      <c r="G59" s="69">
        <f t="shared" si="0"/>
        <v>12.7844</v>
      </c>
      <c r="H59" s="71">
        <f t="shared" si="1"/>
        <v>1.127844</v>
      </c>
      <c r="I59" s="71">
        <f t="shared" si="2"/>
        <v>1.07</v>
      </c>
      <c r="J59" s="258">
        <f t="shared" si="3"/>
        <v>1.2067930800000002</v>
      </c>
      <c r="K59" s="259"/>
    </row>
    <row r="60" spans="2:11" ht="21.75" customHeight="1">
      <c r="B60" s="70"/>
      <c r="C60" s="44">
        <f t="shared" si="4"/>
        <v>80</v>
      </c>
      <c r="D60" s="67">
        <v>7.6178</v>
      </c>
      <c r="E60" s="49">
        <v>1.1666</v>
      </c>
      <c r="F60" s="68">
        <f>'[1]ดอกเบี้ย,กำไร'!G61</f>
        <v>4</v>
      </c>
      <c r="G60" s="69">
        <f t="shared" si="0"/>
        <v>12.7844</v>
      </c>
      <c r="H60" s="71">
        <f t="shared" si="1"/>
        <v>1.127844</v>
      </c>
      <c r="I60" s="71">
        <f t="shared" si="2"/>
        <v>1.07</v>
      </c>
      <c r="J60" s="258">
        <f t="shared" si="3"/>
        <v>1.2067930800000002</v>
      </c>
      <c r="K60" s="259"/>
    </row>
    <row r="61" spans="2:11" ht="21.75" customHeight="1">
      <c r="B61" s="70"/>
      <c r="C61" s="44">
        <f t="shared" si="4"/>
        <v>90</v>
      </c>
      <c r="D61" s="67">
        <v>7.6095</v>
      </c>
      <c r="E61" s="49">
        <v>1.1666</v>
      </c>
      <c r="F61" s="68">
        <f>'[1]ดอกเบี้ย,กำไร'!G62</f>
        <v>4</v>
      </c>
      <c r="G61" s="69">
        <f t="shared" si="0"/>
        <v>12.7761</v>
      </c>
      <c r="H61" s="71">
        <f t="shared" si="1"/>
        <v>1.127761</v>
      </c>
      <c r="I61" s="71">
        <f t="shared" si="2"/>
        <v>1.07</v>
      </c>
      <c r="J61" s="258">
        <f t="shared" si="3"/>
        <v>1.2067042700000001</v>
      </c>
      <c r="K61" s="259"/>
    </row>
    <row r="62" spans="2:11" ht="21.75" customHeight="1">
      <c r="B62" s="70"/>
      <c r="C62" s="44">
        <f t="shared" si="4"/>
        <v>100</v>
      </c>
      <c r="D62" s="67">
        <v>7.6095</v>
      </c>
      <c r="E62" s="49">
        <v>1.1666</v>
      </c>
      <c r="F62" s="68">
        <f>'[1]ดอกเบี้ย,กำไร'!G63</f>
        <v>4</v>
      </c>
      <c r="G62" s="69">
        <f t="shared" si="0"/>
        <v>12.7761</v>
      </c>
      <c r="H62" s="71">
        <f t="shared" si="1"/>
        <v>1.127761</v>
      </c>
      <c r="I62" s="71">
        <f t="shared" si="2"/>
        <v>1.07</v>
      </c>
      <c r="J62" s="258">
        <f t="shared" si="3"/>
        <v>1.2067042700000001</v>
      </c>
      <c r="K62" s="259"/>
    </row>
    <row r="63" spans="2:11" ht="21.75" customHeight="1">
      <c r="B63" s="70"/>
      <c r="C63" s="44">
        <v>150</v>
      </c>
      <c r="D63" s="67">
        <v>7.36</v>
      </c>
      <c r="E63" s="49">
        <v>1.1666</v>
      </c>
      <c r="F63" s="68">
        <f>'[1]ดอกเบี้ย,กำไร'!G64</f>
        <v>4</v>
      </c>
      <c r="G63" s="69">
        <f t="shared" si="0"/>
        <v>12.5266</v>
      </c>
      <c r="H63" s="71">
        <f t="shared" si="1"/>
        <v>1.1252659999999999</v>
      </c>
      <c r="I63" s="71">
        <f t="shared" si="2"/>
        <v>1.07</v>
      </c>
      <c r="J63" s="258">
        <f t="shared" si="3"/>
        <v>1.2040346199999998</v>
      </c>
      <c r="K63" s="259"/>
    </row>
    <row r="64" spans="2:11" ht="21.75" customHeight="1">
      <c r="B64" s="70"/>
      <c r="C64" s="44">
        <v>200</v>
      </c>
      <c r="D64" s="67">
        <v>7.3617</v>
      </c>
      <c r="E64" s="49">
        <v>1.1666</v>
      </c>
      <c r="F64" s="68">
        <f>'[1]ดอกเบี้ย,กำไร'!G65</f>
        <v>4</v>
      </c>
      <c r="G64" s="69">
        <f t="shared" si="0"/>
        <v>12.5283</v>
      </c>
      <c r="H64" s="71">
        <f t="shared" si="1"/>
        <v>1.125283</v>
      </c>
      <c r="I64" s="71">
        <f t="shared" si="2"/>
        <v>1.07</v>
      </c>
      <c r="J64" s="258">
        <f t="shared" si="3"/>
        <v>1.20405281</v>
      </c>
      <c r="K64" s="259"/>
    </row>
    <row r="65" spans="2:11" ht="21.75">
      <c r="B65" s="70"/>
      <c r="C65" s="44">
        <v>250</v>
      </c>
      <c r="D65" s="67">
        <v>7.2736</v>
      </c>
      <c r="E65" s="49">
        <v>1.1666</v>
      </c>
      <c r="F65" s="68">
        <f>'[1]ดอกเบี้ย,กำไร'!G66</f>
        <v>4</v>
      </c>
      <c r="G65" s="69">
        <f t="shared" si="0"/>
        <v>12.4402</v>
      </c>
      <c r="H65" s="71">
        <f t="shared" si="1"/>
        <v>1.124402</v>
      </c>
      <c r="I65" s="71">
        <f t="shared" si="2"/>
        <v>1.07</v>
      </c>
      <c r="J65" s="258">
        <f t="shared" si="3"/>
        <v>1.20311014</v>
      </c>
      <c r="K65" s="259"/>
    </row>
    <row r="66" spans="2:11" ht="21.75">
      <c r="B66" s="70"/>
      <c r="C66" s="44">
        <v>300</v>
      </c>
      <c r="D66" s="67">
        <v>7.195</v>
      </c>
      <c r="E66" s="49">
        <v>1.1666</v>
      </c>
      <c r="F66" s="68">
        <f>'[1]ดอกเบี้ย,กำไร'!G67</f>
        <v>3.5</v>
      </c>
      <c r="G66" s="69">
        <f t="shared" si="0"/>
        <v>11.861600000000001</v>
      </c>
      <c r="H66" s="71">
        <f t="shared" si="1"/>
        <v>1.118616</v>
      </c>
      <c r="I66" s="71">
        <f t="shared" si="2"/>
        <v>1.07</v>
      </c>
      <c r="J66" s="258">
        <f t="shared" si="3"/>
        <v>1.1969191200000002</v>
      </c>
      <c r="K66" s="259"/>
    </row>
    <row r="67" spans="2:11" ht="21.75">
      <c r="B67" s="70"/>
      <c r="C67" s="44">
        <v>350</v>
      </c>
      <c r="D67" s="67">
        <v>6.4098</v>
      </c>
      <c r="E67" s="49">
        <v>1.1666</v>
      </c>
      <c r="F67" s="68">
        <f>'[1]ดอกเบี้ย,กำไร'!G68</f>
        <v>3.5</v>
      </c>
      <c r="G67" s="69">
        <f t="shared" si="0"/>
        <v>11.0764</v>
      </c>
      <c r="H67" s="71">
        <f t="shared" si="1"/>
        <v>1.110764</v>
      </c>
      <c r="I67" s="71">
        <f t="shared" si="2"/>
        <v>1.07</v>
      </c>
      <c r="J67" s="258">
        <f t="shared" si="3"/>
        <v>1.1885174800000002</v>
      </c>
      <c r="K67" s="259"/>
    </row>
    <row r="68" spans="2:11" ht="21.75">
      <c r="B68" s="70"/>
      <c r="C68" s="44">
        <v>400</v>
      </c>
      <c r="D68" s="67">
        <v>6.3344</v>
      </c>
      <c r="E68" s="49">
        <v>1.1666</v>
      </c>
      <c r="F68" s="68">
        <f>'[1]ดอกเบี้ย,กำไร'!G69</f>
        <v>3.5</v>
      </c>
      <c r="G68" s="69">
        <f t="shared" si="0"/>
        <v>11.001</v>
      </c>
      <c r="H68" s="71">
        <f t="shared" si="1"/>
        <v>1.11001</v>
      </c>
      <c r="I68" s="71">
        <f t="shared" si="2"/>
        <v>1.07</v>
      </c>
      <c r="J68" s="258">
        <f t="shared" si="3"/>
        <v>1.1877107</v>
      </c>
      <c r="K68" s="259"/>
    </row>
    <row r="69" spans="2:11" ht="21.75">
      <c r="B69" s="70"/>
      <c r="C69" s="44">
        <v>500</v>
      </c>
      <c r="D69" s="67">
        <v>6.2868</v>
      </c>
      <c r="E69" s="49">
        <v>1.1666</v>
      </c>
      <c r="F69" s="68">
        <f>'[1]ดอกเบี้ย,กำไร'!G70</f>
        <v>3.5</v>
      </c>
      <c r="G69" s="69">
        <f t="shared" si="0"/>
        <v>10.9534</v>
      </c>
      <c r="H69" s="71">
        <f t="shared" si="1"/>
        <v>1.109534</v>
      </c>
      <c r="I69" s="71">
        <f t="shared" si="2"/>
        <v>1.07</v>
      </c>
      <c r="J69" s="258">
        <f t="shared" si="3"/>
        <v>1.18720138</v>
      </c>
      <c r="K69" s="259"/>
    </row>
    <row r="70" spans="2:11" ht="21.75">
      <c r="B70" s="72" t="s">
        <v>54</v>
      </c>
      <c r="C70" s="73">
        <v>500</v>
      </c>
      <c r="D70" s="67">
        <v>5.6676</v>
      </c>
      <c r="E70" s="49">
        <v>1.1666</v>
      </c>
      <c r="F70" s="68">
        <f>'[1]ดอกเบี้ย,กำไร'!G71</f>
        <v>3.5</v>
      </c>
      <c r="G70" s="69">
        <f t="shared" si="0"/>
        <v>10.3342</v>
      </c>
      <c r="H70" s="74">
        <f t="shared" si="1"/>
        <v>1.103342</v>
      </c>
      <c r="I70" s="74">
        <f t="shared" si="2"/>
        <v>1.07</v>
      </c>
      <c r="J70" s="260">
        <f t="shared" si="3"/>
        <v>1.1805759400000002</v>
      </c>
      <c r="K70" s="261"/>
    </row>
    <row r="71" spans="2:11" ht="21.75">
      <c r="B71" s="256" t="s">
        <v>9</v>
      </c>
      <c r="C71" s="256"/>
      <c r="D71" s="60" t="s">
        <v>55</v>
      </c>
      <c r="E71" s="75"/>
      <c r="F71" s="75"/>
      <c r="G71" s="75"/>
      <c r="H71" s="75"/>
      <c r="I71" s="75"/>
      <c r="J71" s="57"/>
      <c r="K71" s="75"/>
    </row>
    <row r="72" spans="2:11" ht="21.75">
      <c r="B72" s="57"/>
      <c r="C72" s="57"/>
      <c r="D72" s="58" t="s">
        <v>56</v>
      </c>
      <c r="E72" s="76"/>
      <c r="F72" s="76"/>
      <c r="G72" s="76"/>
      <c r="H72" s="76"/>
      <c r="I72" s="76"/>
      <c r="J72" s="76"/>
      <c r="K72" s="76"/>
    </row>
    <row r="73" spans="2:11" ht="21.75">
      <c r="B73" s="57"/>
      <c r="C73" s="76"/>
      <c r="D73" s="76"/>
      <c r="E73" s="76"/>
      <c r="F73" s="76"/>
      <c r="G73" s="76"/>
      <c r="H73" s="76"/>
      <c r="I73" s="76"/>
      <c r="J73" s="76"/>
      <c r="K73" s="76"/>
    </row>
    <row r="74" spans="2:11" ht="21.75">
      <c r="B74" s="44"/>
      <c r="C74" s="44"/>
      <c r="D74" s="49"/>
      <c r="E74" s="49"/>
      <c r="F74" s="49"/>
      <c r="G74" s="49"/>
      <c r="H74" s="49"/>
      <c r="I74" s="49"/>
      <c r="J74" s="257" t="s">
        <v>81</v>
      </c>
      <c r="K74" s="257"/>
    </row>
    <row r="110" spans="2:11" ht="21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</row>
    <row r="111" spans="2:11" ht="21.75">
      <c r="B111" s="77"/>
      <c r="C111" s="77"/>
      <c r="D111" s="77"/>
      <c r="E111" s="77"/>
      <c r="F111" s="77"/>
      <c r="G111" s="77"/>
      <c r="H111" s="77"/>
      <c r="I111" s="77"/>
      <c r="J111" s="77"/>
      <c r="K111" s="77"/>
    </row>
    <row r="112" spans="2:11" ht="21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</row>
    <row r="113" spans="2:11" ht="21.75">
      <c r="B113" s="77"/>
      <c r="C113" s="77"/>
      <c r="D113" s="77"/>
      <c r="E113" s="77"/>
      <c r="F113" s="77"/>
      <c r="G113" s="77"/>
      <c r="H113" s="77"/>
      <c r="I113" s="77"/>
      <c r="J113" s="77"/>
      <c r="K113" s="77"/>
    </row>
    <row r="114" spans="2:11" ht="21.75">
      <c r="B114" s="77"/>
      <c r="C114" s="77"/>
      <c r="D114" s="77"/>
      <c r="E114" s="77"/>
      <c r="F114" s="77"/>
      <c r="G114" s="77"/>
      <c r="H114" s="77"/>
      <c r="I114" s="77"/>
      <c r="J114" s="77"/>
      <c r="K114" s="77"/>
    </row>
  </sheetData>
  <sheetProtection selectLockedCells="1" selectUnlockedCells="1"/>
  <mergeCells count="49">
    <mergeCell ref="B1:K1"/>
    <mergeCell ref="B2:K2"/>
    <mergeCell ref="B3:K3"/>
    <mergeCell ref="B5:D5"/>
    <mergeCell ref="B8:C8"/>
    <mergeCell ref="D8:G8"/>
    <mergeCell ref="J8:K11"/>
    <mergeCell ref="B9:C9"/>
    <mergeCell ref="D9:G9"/>
    <mergeCell ref="B10:C10"/>
    <mergeCell ref="B11:C11"/>
    <mergeCell ref="J12:K12"/>
    <mergeCell ref="J13:K13"/>
    <mergeCell ref="J14:K14"/>
    <mergeCell ref="J16:K16"/>
    <mergeCell ref="B40:K40"/>
    <mergeCell ref="B43:C43"/>
    <mergeCell ref="D43:G43"/>
    <mergeCell ref="J43:K46"/>
    <mergeCell ref="B44:C44"/>
    <mergeCell ref="D44:G44"/>
    <mergeCell ref="B45:C45"/>
    <mergeCell ref="B46:C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B71:C71"/>
    <mergeCell ref="J74:K74"/>
    <mergeCell ref="J65:K65"/>
    <mergeCell ref="J66:K66"/>
    <mergeCell ref="J67:K67"/>
    <mergeCell ref="J68:K68"/>
    <mergeCell ref="J69:K69"/>
    <mergeCell ref="J70:K70"/>
  </mergeCells>
  <printOptions/>
  <pageMargins left="0.51" right="0.18" top="0.71" bottom="0.79" header="0.1968503937007874" footer="0.44"/>
  <pageSetup horizontalDpi="300" verticalDpi="300" orientation="portrait" paperSize="9" r:id="rId1"/>
  <headerFooter alignWithMargins="0">
    <oddHeader>&amp;L&amp;"DilleniaUPC,ธรรมดา"ตารางคำนวณค่า FACTOR F&amp;R&amp;"DilleniaUPC,ธรรมดา"หน้าที่ :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1" sqref="A1:D1"/>
    </sheetView>
  </sheetViews>
  <sheetFormatPr defaultColWidth="9.140625" defaultRowHeight="21.75"/>
  <sheetData>
    <row r="1" spans="1:4" ht="21.75">
      <c r="A1" s="295" t="s">
        <v>13</v>
      </c>
      <c r="B1" s="295"/>
      <c r="C1" s="295"/>
      <c r="D1" s="295"/>
    </row>
    <row r="2" spans="1:4" ht="21.75">
      <c r="A2" s="295" t="s">
        <v>63</v>
      </c>
      <c r="B2" s="295"/>
      <c r="C2" s="295"/>
      <c r="D2" s="295"/>
    </row>
    <row r="3" spans="1:4" ht="21.75">
      <c r="A3" s="295" t="s">
        <v>65</v>
      </c>
      <c r="B3" s="295"/>
      <c r="C3" s="295"/>
      <c r="D3" s="295"/>
    </row>
    <row r="4" spans="1:4" ht="21.75">
      <c r="A4" s="295" t="s">
        <v>66</v>
      </c>
      <c r="B4" s="295"/>
      <c r="C4" s="295"/>
      <c r="D4" s="295"/>
    </row>
    <row r="5" spans="1:4" ht="21.75">
      <c r="A5" s="295" t="s">
        <v>64</v>
      </c>
      <c r="B5" s="295"/>
      <c r="C5" s="295"/>
      <c r="D5" s="295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Lenovo</cp:lastModifiedBy>
  <cp:lastPrinted>2024-03-18T03:32:01Z</cp:lastPrinted>
  <dcterms:created xsi:type="dcterms:W3CDTF">2000-06-22T14:55:11Z</dcterms:created>
  <dcterms:modified xsi:type="dcterms:W3CDTF">2024-03-20T09:28:51Z</dcterms:modified>
  <cp:category/>
  <cp:version/>
  <cp:contentType/>
  <cp:contentStatus/>
</cp:coreProperties>
</file>